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865" tabRatio="597" activeTab="0"/>
  </bookViews>
  <sheets>
    <sheet name="ภาระค่าใช้จ่าย" sheetId="1" r:id="rId1"/>
    <sheet name="บัญชีจัดคนลงสู่ตำแหน่ง" sheetId="2" r:id="rId2"/>
    <sheet name="บัญชีเห็นชอบแผนอัตรากำลัง" sheetId="3" r:id="rId3"/>
  </sheets>
  <definedNames/>
  <calcPr fullCalcOnLoad="1"/>
</workbook>
</file>

<file path=xl/sharedStrings.xml><?xml version="1.0" encoding="utf-8"?>
<sst xmlns="http://schemas.openxmlformats.org/spreadsheetml/2006/main" count="1225" uniqueCount="346">
  <si>
    <t>-</t>
  </si>
  <si>
    <t>อัตราตำแหน่งที่คาดว่า</t>
  </si>
  <si>
    <t>จะต้องใช้ในช่วง</t>
  </si>
  <si>
    <t>ที่</t>
  </si>
  <si>
    <t>ชื่อสายงาน</t>
  </si>
  <si>
    <t>อัตรากำลังคน</t>
  </si>
  <si>
    <t>ภาระค่าใช้จ่าย</t>
  </si>
  <si>
    <t>ค่าใช้จ่ายรวม (3)</t>
  </si>
  <si>
    <t>ระดับ</t>
  </si>
  <si>
    <t>จำนวน</t>
  </si>
  <si>
    <t>เพิ่ม / ลด</t>
  </si>
  <si>
    <t>ที่เพิ่มขึ้น (2)</t>
  </si>
  <si>
    <t>ตำแหน่ง</t>
  </si>
  <si>
    <t>ระยะ 3 ปีข้างหน้า</t>
  </si>
  <si>
    <t>เงินเดือน</t>
  </si>
  <si>
    <t>(คน)</t>
  </si>
  <si>
    <t>(1)</t>
  </si>
  <si>
    <t>ประเภท</t>
  </si>
  <si>
    <t>บริหารท้องถิ่น</t>
  </si>
  <si>
    <t>ต้น</t>
  </si>
  <si>
    <t xml:space="preserve"> หัวหน้าสำนักปลัด (นักบริหารงานทั่วไป)</t>
  </si>
  <si>
    <t xml:space="preserve"> นักทรัพยากรบุคคล</t>
  </si>
  <si>
    <t>วิชาการ</t>
  </si>
  <si>
    <t xml:space="preserve"> เจ้าพนักงานธุรการ</t>
  </si>
  <si>
    <t xml:space="preserve"> นักวิเคราะห์นโยบายและแผน</t>
  </si>
  <si>
    <t xml:space="preserve"> นักพัฒนาชุมชน</t>
  </si>
  <si>
    <t xml:space="preserve"> เจ้าพนักงานป้องกันและบรรเทาสาธารณภัย</t>
  </si>
  <si>
    <t xml:space="preserve"> พนักงานขับรถยนต์</t>
  </si>
  <si>
    <t xml:space="preserve"> ผู้ช่วยครูผู้ดูแลเด็ก</t>
  </si>
  <si>
    <t xml:space="preserve"> ภารโรง</t>
  </si>
  <si>
    <t xml:space="preserve"> คนงานทั่วไป</t>
  </si>
  <si>
    <t xml:space="preserve"> ผู้อำนวยการกองคลัง (นักบริหารงานการคลัง)</t>
  </si>
  <si>
    <t xml:space="preserve"> เจ้าพนักงานการเงินและบัญชี</t>
  </si>
  <si>
    <t xml:space="preserve"> เจ้าพนักงานพัสดุ</t>
  </si>
  <si>
    <t xml:space="preserve"> เจ้าพนักงานจัดเก็บรายได้</t>
  </si>
  <si>
    <t>ทั่วไป</t>
  </si>
  <si>
    <t xml:space="preserve"> ผู้ช่วยเจ้าพนักงานพัสดุ</t>
  </si>
  <si>
    <t xml:space="preserve"> ผู้ช่วยเจ้าพนักงานธุรการ</t>
  </si>
  <si>
    <t xml:space="preserve"> ผู้อำนวยการกองช่าง (นักบริหารงานช่าง)</t>
  </si>
  <si>
    <t xml:space="preserve"> นายช่างโยธา</t>
  </si>
  <si>
    <t>ปฏิบัติงาน/ชำนาญงาน</t>
  </si>
  <si>
    <t xml:space="preserve"> ผู้ช่วยนายช่างโยธา</t>
  </si>
  <si>
    <t>ปฏิบัติการ/ชำนาญการ</t>
  </si>
  <si>
    <t xml:space="preserve"> นักวิชาการศึกษา</t>
  </si>
  <si>
    <t>ปฏิบัติการ</t>
  </si>
  <si>
    <t>ชำนาญการ</t>
  </si>
  <si>
    <t>ปฏิบัติงาน</t>
  </si>
  <si>
    <t xml:space="preserve"> ปลัดองค์การบริหารส่วนตำบล </t>
  </si>
  <si>
    <t xml:space="preserve"> (นักบริหารงานท้องถิ่น)</t>
  </si>
  <si>
    <t>จำนวนที่มีอยู่</t>
  </si>
  <si>
    <t>ปัจจุบัน</t>
  </si>
  <si>
    <t>จำ</t>
  </si>
  <si>
    <t>นวน</t>
  </si>
  <si>
    <t>ทั้ง</t>
  </si>
  <si>
    <t>หมด</t>
  </si>
  <si>
    <t>ผู้อำนวยการกองคลัง</t>
  </si>
  <si>
    <t>ผู้รับรองข้อมูล</t>
  </si>
  <si>
    <t>(นายวิกรม  แก้วเพชร)</t>
  </si>
  <si>
    <t>ปลัดองค์การบริหารส่วนตำบลบ้องตี้</t>
  </si>
  <si>
    <t xml:space="preserve"> (4)</t>
  </si>
  <si>
    <t xml:space="preserve"> (5)</t>
  </si>
  <si>
    <t xml:space="preserve"> (6)</t>
  </si>
  <si>
    <t xml:space="preserve"> (7)</t>
  </si>
  <si>
    <t xml:space="preserve"> รวม</t>
  </si>
  <si>
    <t xml:space="preserve"> ประมาณการประโยชน์ตอบแทนอื่น 20%</t>
  </si>
  <si>
    <t xml:space="preserve"> รวมเป็นค่าใช้จ่ายบุคคลทั้งสิ้น</t>
  </si>
  <si>
    <t xml:space="preserve"> คิดร้อยละ 40 งบประมาณรายจ่ายประจำปี</t>
  </si>
  <si>
    <t xml:space="preserve">             :  ข้าราชการถ่ายโอน ลูกจ้างประจำถ่ายโอน รวมถึงครู และ บุคลการทางการศึกษาที่ได้รับเงินอุดหนุนที่จ่ายเป็นเงินเดือน ค่าจ้าง ให้ระบุข้อมูลไว้ในแผนอัตรากำลัง แต่ไม่ต้องนำมาคิดรวมเป็นภาระค่าใช้จ่ายเกี่ยวกับเงินเดือนและประโยชน์ตอบแทนอื่น ตามมาตรา 35</t>
  </si>
  <si>
    <t>ตารางแสดงการคำนวณภาระค่าใช้จ่ายเกี่ยวกับเงินเดือนและประโยชน์ตอบแทนอื่น  องค์การบริหารส่วนตำบลบ้องตี้  อำเภอไทรโยค  จังหวัดกาญจนบุรี</t>
  </si>
  <si>
    <t>ชำนาญงาน</t>
  </si>
  <si>
    <t xml:space="preserve"> -2-</t>
  </si>
  <si>
    <t>หมายเหตุ</t>
  </si>
  <si>
    <t>เงินอุดหนุน</t>
  </si>
  <si>
    <t>ว่าง</t>
  </si>
  <si>
    <r>
      <rPr>
        <b/>
        <sz val="16"/>
        <rFont val="TH SarabunIT๙"/>
        <family val="2"/>
      </rPr>
      <t xml:space="preserve">  </t>
    </r>
    <r>
      <rPr>
        <b/>
        <u val="double"/>
        <sz val="16"/>
        <rFont val="TH SarabunIT๙"/>
        <family val="2"/>
      </rPr>
      <t>สำนักงานปลัด</t>
    </r>
    <r>
      <rPr>
        <b/>
        <u val="single"/>
        <sz val="16"/>
        <rFont val="TH SarabunIT๙"/>
        <family val="2"/>
      </rPr>
      <t xml:space="preserve"> </t>
    </r>
  </si>
  <si>
    <r>
      <rPr>
        <b/>
        <sz val="16"/>
        <rFont val="TH SarabunIT๙"/>
        <family val="2"/>
      </rPr>
      <t xml:space="preserve"> </t>
    </r>
    <r>
      <rPr>
        <b/>
        <u val="double"/>
        <sz val="16"/>
        <rFont val="TH SarabunIT๙"/>
        <family val="2"/>
      </rPr>
      <t>ลูกจ้างประจำ</t>
    </r>
  </si>
  <si>
    <r>
      <rPr>
        <b/>
        <sz val="16"/>
        <rFont val="TH SarabunIT๙"/>
        <family val="2"/>
      </rPr>
      <t xml:space="preserve">  </t>
    </r>
    <r>
      <rPr>
        <b/>
        <u val="double"/>
        <sz val="16"/>
        <rFont val="TH SarabunIT๙"/>
        <family val="2"/>
      </rPr>
      <t>กองคลัง</t>
    </r>
  </si>
  <si>
    <r>
      <rPr>
        <b/>
        <sz val="16"/>
        <rFont val="TH SarabunIT๙"/>
        <family val="2"/>
      </rPr>
      <t xml:space="preserve"> </t>
    </r>
    <r>
      <rPr>
        <b/>
        <u val="double"/>
        <sz val="16"/>
        <rFont val="TH SarabunIT๙"/>
        <family val="2"/>
      </rPr>
      <t>พนักงานจ้างตามภารกิจ</t>
    </r>
  </si>
  <si>
    <r>
      <rPr>
        <b/>
        <sz val="16"/>
        <rFont val="TH SarabunIT๙"/>
        <family val="2"/>
      </rPr>
      <t xml:space="preserve">  </t>
    </r>
    <r>
      <rPr>
        <b/>
        <u val="double"/>
        <sz val="16"/>
        <rFont val="TH SarabunIT๙"/>
        <family val="2"/>
      </rPr>
      <t>กองช่าง</t>
    </r>
  </si>
  <si>
    <r>
      <rPr>
        <b/>
        <sz val="16"/>
        <rFont val="TH SarabunIT๙"/>
        <family val="2"/>
      </rPr>
      <t xml:space="preserve"> </t>
    </r>
    <r>
      <rPr>
        <b/>
        <u val="double"/>
        <sz val="16"/>
        <rFont val="TH SarabunIT๙"/>
        <family val="2"/>
      </rPr>
      <t>พนักงานจ้างทั่วไป</t>
    </r>
  </si>
  <si>
    <t>หมาย</t>
  </si>
  <si>
    <t>เงินประจำ</t>
  </si>
  <si>
    <t>เงินเพิ่มอื่นๆ/</t>
  </si>
  <si>
    <t>เหตุ</t>
  </si>
  <si>
    <t>เงินค่าตอบแทน</t>
  </si>
  <si>
    <t xml:space="preserve"> นายวิกรม  แก้วเพชร</t>
  </si>
  <si>
    <t>ปริญญาโท</t>
  </si>
  <si>
    <t xml:space="preserve"> ประศาสนศาสตร์</t>
  </si>
  <si>
    <t>ส่วนตำบล</t>
  </si>
  <si>
    <t>ท้องถิ่น</t>
  </si>
  <si>
    <t xml:space="preserve"> นายสมบัติ  รักษา</t>
  </si>
  <si>
    <t>หัวหน้าสำนักปลัด</t>
  </si>
  <si>
    <t>อำนวยการ</t>
  </si>
  <si>
    <t xml:space="preserve"> รัฐประศาสนศาสตร์</t>
  </si>
  <si>
    <t xml:space="preserve">  -</t>
  </si>
  <si>
    <t xml:space="preserve"> - </t>
  </si>
  <si>
    <t>ปฎิบัติการ</t>
  </si>
  <si>
    <t>/ชำนาญการ</t>
  </si>
  <si>
    <t xml:space="preserve"> -</t>
  </si>
  <si>
    <t>ปริญญาตรี</t>
  </si>
  <si>
    <t>นักวิชาการศึกษา</t>
  </si>
  <si>
    <t xml:space="preserve"> นายอติรัชต์  ตันประเสริฐ</t>
  </si>
  <si>
    <t>นักพัฒนาชุมชน</t>
  </si>
  <si>
    <t>พัฒนาชุมชน</t>
  </si>
  <si>
    <t xml:space="preserve"> น.ส.อภิรดี  ศรีพยัคฆ์</t>
  </si>
  <si>
    <t>การจัดการทั่วไป</t>
  </si>
  <si>
    <t>(การบัญชี)</t>
  </si>
  <si>
    <t xml:space="preserve"> น.ส.ราณี  ไชยา</t>
  </si>
  <si>
    <t>ปฎิบัติงาน</t>
  </si>
  <si>
    <t xml:space="preserve"> /ชำนาญงาน</t>
  </si>
  <si>
    <t>บรรเทาสาธารณภัย</t>
  </si>
  <si>
    <t xml:space="preserve"> น.ส.วรานุช  อิ่มพลับ</t>
  </si>
  <si>
    <t>ลูกจ้าง</t>
  </si>
  <si>
    <t>นิติศาสตร์</t>
  </si>
  <si>
    <t>ประจำ</t>
  </si>
  <si>
    <t>คศ. 1</t>
  </si>
  <si>
    <t xml:space="preserve"> น.ส.จันทิมา  โภคา</t>
  </si>
  <si>
    <t xml:space="preserve"> นางรัศมี  ระมัดจิตร</t>
  </si>
  <si>
    <t>(ต่อ)</t>
  </si>
  <si>
    <t xml:space="preserve"> นางจุฑาทิพย์  เกษเกษร</t>
  </si>
  <si>
    <t xml:space="preserve"> นางรัตนา  อิ่มพลับ</t>
  </si>
  <si>
    <t xml:space="preserve"> น.ส.นันทิกานต์  ถิ่นขจร</t>
  </si>
  <si>
    <t xml:space="preserve"> น.ส.จันทร์แรม  ถิ่นแสนไกล</t>
  </si>
  <si>
    <t>ผู้ช่วย</t>
  </si>
  <si>
    <t>พนักงานจ้าง</t>
  </si>
  <si>
    <t>ตามภารกิจ</t>
  </si>
  <si>
    <t xml:space="preserve"> น.ส.ชลธิชา  นำพา</t>
  </si>
  <si>
    <t>ปวช.</t>
  </si>
  <si>
    <t xml:space="preserve"> นายวิชัย  กรุงจิต</t>
  </si>
  <si>
    <t>ม.6</t>
  </si>
  <si>
    <t>พนักงานขับรถยนต์</t>
  </si>
  <si>
    <t>(11,180x12)</t>
  </si>
  <si>
    <t xml:space="preserve"> น.ส.พรทิพย์  ดอกไม้แย้ม</t>
  </si>
  <si>
    <t>ผู้ช่วยครูผู้ดูแลเด็ก</t>
  </si>
  <si>
    <t xml:space="preserve"> น.ส.ธัญญาลัคษ์ สกุลวสวัตติ์</t>
  </si>
  <si>
    <t xml:space="preserve"> นางธัญมน  มงคล</t>
  </si>
  <si>
    <t xml:space="preserve"> น.ส.ระพีพร  ใครหอม</t>
  </si>
  <si>
    <t xml:space="preserve"> นางลำไพ  สิทธิสาร</t>
  </si>
  <si>
    <t xml:space="preserve"> นายไพบูลย์  ทองเปราะ</t>
  </si>
  <si>
    <t>ภารโรง</t>
  </si>
  <si>
    <t>(9,000x12)</t>
  </si>
  <si>
    <t xml:space="preserve"> นายแรงกูน  เข้มแข็ง</t>
  </si>
  <si>
    <t>คนงานทั่วไป</t>
  </si>
  <si>
    <t xml:space="preserve"> นางสายพิญ  น้อยนาท้าว</t>
  </si>
  <si>
    <t>ม.3</t>
  </si>
  <si>
    <t>การบัญชี</t>
  </si>
  <si>
    <t xml:space="preserve"> น.ส.พัฐปมณฑ์  ชัยพิบูลพงษ์</t>
  </si>
  <si>
    <t xml:space="preserve">ปวส. </t>
  </si>
  <si>
    <t>คอมพิวเตอร์ธุรกิจ</t>
  </si>
  <si>
    <t>เจ้าพนักงานพัสดุ</t>
  </si>
  <si>
    <t>เจ้าพนักงานธุรการ</t>
  </si>
  <si>
    <t xml:space="preserve"> น.ส.นฤมล  มั่นคง</t>
  </si>
  <si>
    <t>รัฐประศาสนศาสตร์</t>
  </si>
  <si>
    <t xml:space="preserve"> น.ส.วงเดือน  ราชสีห์แก้ว</t>
  </si>
  <si>
    <t>ปวส.</t>
  </si>
  <si>
    <t xml:space="preserve"> นายณัฐวุธ  รัตนา</t>
  </si>
  <si>
    <t>นายช่างโยธา</t>
  </si>
  <si>
    <t>ก่อสร้าง</t>
  </si>
  <si>
    <t xml:space="preserve"> นายผดุงพล  ปรึกษา</t>
  </si>
  <si>
    <t xml:space="preserve"> น.ส.กัลยา  วิเศษคุณาการ</t>
  </si>
  <si>
    <t xml:space="preserve"> น.ส.อารียา   ทองเปราะ</t>
  </si>
  <si>
    <t xml:space="preserve"> องค์การบริหารส่วนตำบลบ้องตี้  อำเภอไทรโยค  จังหวัดกาญจนบุรี</t>
  </si>
  <si>
    <t>11.  บัญชีแสดงจัดคนลงสู่ตำแหน่งและการกำหนดเลขที่ตำแหน่งในส่วนราชการ</t>
  </si>
  <si>
    <t>ชื่อ - สกุล</t>
  </si>
  <si>
    <t>คุณวุฒิ</t>
  </si>
  <si>
    <t>การศึกษา</t>
  </si>
  <si>
    <t>กรอบอัตรากำลังเดิม</t>
  </si>
  <si>
    <t>กรอบอัตรากำลังใหม่</t>
  </si>
  <si>
    <t>เลขที่ตำแหน่ง</t>
  </si>
  <si>
    <t>ช่องเงินเดือน</t>
  </si>
  <si>
    <t>ปลัดองค์การบริหารส่วนตำบล</t>
  </si>
  <si>
    <t>(นักบริหารงานท้องถิ่น)</t>
  </si>
  <si>
    <t>(นักบริหารงานทั่วไป)</t>
  </si>
  <si>
    <t>(ว่าง)</t>
  </si>
  <si>
    <t>นักทรัพยากรบุคคล</t>
  </si>
  <si>
    <t>นักวิเคราะห์นโยบายและแผน</t>
  </si>
  <si>
    <t>เจ้าพนักงานป้องกันและ</t>
  </si>
  <si>
    <t>ผู้อำนวยการกองช่าง</t>
  </si>
  <si>
    <t>(นักบริหารงานการคลัง)</t>
  </si>
  <si>
    <t>(นักบริหารงานช่าง)</t>
  </si>
  <si>
    <t>เจ้าพนักงานจัดเก็บรายได้</t>
  </si>
  <si>
    <t>ผู้ช่วยเจ้าพนักงานพัสดุ</t>
  </si>
  <si>
    <t>ผู้ช่วยเจ้าพนักงานธุรการ</t>
  </si>
  <si>
    <t>ผู้ช่วยนายช่างโยธา</t>
  </si>
  <si>
    <t>องค์การบริหารส่วนตำบลบ้องตี้      อำเภอไทรโยค      จังหวัดกาญจนบุรี</t>
  </si>
  <si>
    <t>ขอปรับปรุงในครั้งนี้</t>
  </si>
  <si>
    <t>ส่วนราชการ</t>
  </si>
  <si>
    <t>กรอบอัตรากำลัง</t>
  </si>
  <si>
    <t>( + เพิ่ม  /  -  ลด )</t>
  </si>
  <si>
    <t>ระยะเวลา 3 ปี ข้างหน้า</t>
  </si>
  <si>
    <t>เดิม</t>
  </si>
  <si>
    <t>ไม่ว่าง</t>
  </si>
  <si>
    <t>สำนักงานปลัด</t>
  </si>
  <si>
    <t>อำนวยการท้องถิ่น</t>
  </si>
  <si>
    <t xml:space="preserve"> นักทรัพยากรบุคคล </t>
  </si>
  <si>
    <t>ปฏิบัติการ /</t>
  </si>
  <si>
    <t xml:space="preserve"> นักวิชาการศึกษา  </t>
  </si>
  <si>
    <t>(เงินอุดหนุน)</t>
  </si>
  <si>
    <t xml:space="preserve"> ตำแหน่งเลขที่ 71-2-0152</t>
  </si>
  <si>
    <t xml:space="preserve"> ตำแหน่งเลขที่ 71-2-0153</t>
  </si>
  <si>
    <t xml:space="preserve"> ตำแหน่งเลขที่ 71-2-0154</t>
  </si>
  <si>
    <t xml:space="preserve"> ตำแหน่งเลขที่ 71-2-0252</t>
  </si>
  <si>
    <t xml:space="preserve"> ตำแหน่งเลขที่ 71-2-0253</t>
  </si>
  <si>
    <t xml:space="preserve"> ตำแหน่งเลขที่ 71-2-0254</t>
  </si>
  <si>
    <t>ปฏิบัติงาน /</t>
  </si>
  <si>
    <t xml:space="preserve"> ลูกจ้างประจำ</t>
  </si>
  <si>
    <t xml:space="preserve"> ตำแหน่งเลขที่  -</t>
  </si>
  <si>
    <t xml:space="preserve"> - 2 -</t>
  </si>
  <si>
    <t>กองคลัง</t>
  </si>
  <si>
    <t>กองช่าง</t>
  </si>
  <si>
    <t xml:space="preserve"> นายช่างโยธา </t>
  </si>
  <si>
    <t>รวม</t>
  </si>
  <si>
    <t>บาท</t>
  </si>
  <si>
    <t>ไม่รวมเงินอุดหนุน</t>
  </si>
  <si>
    <t xml:space="preserve">          คิดเป็นร้อยละ</t>
  </si>
  <si>
    <t xml:space="preserve"> ตำแหน่งเลขที่  02-3-00-1101-001</t>
  </si>
  <si>
    <t xml:space="preserve"> ตำแหน่งเลขที่  02-3-01-2101-001</t>
  </si>
  <si>
    <t xml:space="preserve"> ตำแหน่งเลขที่  02-3-01-3102-001</t>
  </si>
  <si>
    <t xml:space="preserve"> ตำแหน่งเลขที่  02-3-01-3803-001</t>
  </si>
  <si>
    <t xml:space="preserve"> ตำแหน่งเลขที่  02-3-01-4101-001</t>
  </si>
  <si>
    <t xml:space="preserve"> ตำแหน่งเลขที่  02-3-01-3801-001</t>
  </si>
  <si>
    <t xml:space="preserve"> ตำแหน่งเลขที่  02-3-01-4805-001</t>
  </si>
  <si>
    <t xml:space="preserve"> ตำแหน่งเลขที่  02-3-04-2102-001</t>
  </si>
  <si>
    <t xml:space="preserve"> ตำแหน่งเลขที่  02-3-04-4203-001</t>
  </si>
  <si>
    <t xml:space="preserve"> ตำแหน่งเลขที่  02-3-04-4204-001</t>
  </si>
  <si>
    <t xml:space="preserve"> ตำแหน่งเลขที่  02-3-04-4101-001</t>
  </si>
  <si>
    <t xml:space="preserve"> ตำแหน่งเลขที่  02-3-05-2103-001</t>
  </si>
  <si>
    <t xml:space="preserve"> ตำแหน่งเลขที่  02-3-05-4701-001</t>
  </si>
  <si>
    <t xml:space="preserve"> ตำแหน่งเลขที่  02-3-05-4701-002</t>
  </si>
  <si>
    <t xml:space="preserve"> ตำแหน่งเลขที่  02-3-01-3103-001</t>
  </si>
  <si>
    <t xml:space="preserve"> ตำแหน่งเลขที่  02-3-04-4201-001</t>
  </si>
  <si>
    <t xml:space="preserve"> นักจัดการงานทั่วไป</t>
  </si>
  <si>
    <t xml:space="preserve"> ครู</t>
  </si>
  <si>
    <t>อันดับ</t>
  </si>
  <si>
    <t xml:space="preserve"> เจ้าหน้าที่บริหารงานทั่วไป</t>
  </si>
  <si>
    <t xml:space="preserve"> ผู้ช่วยนายช่างไฟฟ้า</t>
  </si>
  <si>
    <t xml:space="preserve">บัญชีเสนอขอความเห็นชอบแผนอัตรากำลัง 3 ปี  ( ปีงบประมาณ  พ.ศ. 2561 - 2563 )  </t>
  </si>
  <si>
    <t>บาท  ประมาณการเพิ่มขึ้นร้อยละ 5 ของงบประมาณรายจ่ายประจำปี 2560</t>
  </si>
  <si>
    <t>บาท  ประมาณการเพิ่มขึ้นร้อยละ 5 ของงบประมาณรายจ่ายประจำปี 2561</t>
  </si>
  <si>
    <t>บาท  ประมาณการเพิ่มขึ้นร้อยละ 5 ของงบประมาณรายจ่ายประจำปี 2562</t>
  </si>
  <si>
    <t>(นางสาวมาลิดา  ธิตะจารี)</t>
  </si>
  <si>
    <r>
      <t xml:space="preserve">   </t>
    </r>
    <r>
      <rPr>
        <b/>
        <sz val="16"/>
        <rFont val="TH SarabunIT๙"/>
        <family val="2"/>
      </rPr>
      <t xml:space="preserve"> องค์การบริหารส่วนตำบลบ้องตี้</t>
    </r>
    <r>
      <rPr>
        <sz val="16"/>
        <rFont val="TH SarabunIT๙"/>
        <family val="2"/>
      </rPr>
      <t xml:space="preserve">  นำผลวิเคราะห์การกำหนดอัตรากำลัง มาคำนวณภาระค่าใช้จ่ายด้านการบริหารงานบุคคล เพื่อควบคุมการใช้จ่ายด้านการบริหารงานบุคคลไม่ให้เกินกว่าร้อยละ 40 ของงบประมาณรายจ่ายประจำปี  ดังนี้</t>
    </r>
  </si>
  <si>
    <t>เป็นเงิน</t>
  </si>
  <si>
    <t>(30,790)</t>
  </si>
  <si>
    <t>(27,480)</t>
  </si>
  <si>
    <t>(21,880)</t>
  </si>
  <si>
    <t>(22,980)</t>
  </si>
  <si>
    <r>
      <rPr>
        <b/>
        <sz val="17"/>
        <rFont val="TH SarabunIT๙"/>
        <family val="2"/>
      </rPr>
      <t xml:space="preserve"> </t>
    </r>
    <r>
      <rPr>
        <b/>
        <u val="single"/>
        <sz val="17"/>
        <rFont val="TH SarabunIT๙"/>
        <family val="2"/>
      </rPr>
      <t>งานการเจ้าหน้าที่</t>
    </r>
  </si>
  <si>
    <r>
      <t xml:space="preserve"> </t>
    </r>
    <r>
      <rPr>
        <b/>
        <u val="single"/>
        <sz val="17"/>
        <rFont val="TH SarabunIT๙"/>
        <family val="2"/>
      </rPr>
      <t>งานการศึกษา</t>
    </r>
  </si>
  <si>
    <r>
      <t xml:space="preserve"> </t>
    </r>
    <r>
      <rPr>
        <b/>
        <u val="single"/>
        <sz val="17"/>
        <rFont val="TH SarabunIT๙"/>
        <family val="2"/>
      </rPr>
      <t>งานธุรการ</t>
    </r>
  </si>
  <si>
    <r>
      <t xml:space="preserve"> </t>
    </r>
    <r>
      <rPr>
        <b/>
        <u val="single"/>
        <sz val="17"/>
        <rFont val="TH SarabunIT๙"/>
        <family val="2"/>
      </rPr>
      <t>งานแผนและงบประมาณ</t>
    </r>
  </si>
  <si>
    <r>
      <t xml:space="preserve"> </t>
    </r>
    <r>
      <rPr>
        <b/>
        <u val="single"/>
        <sz val="17"/>
        <rFont val="TH SarabunIT๙"/>
        <family val="2"/>
      </rPr>
      <t>งานสวัสดิการสังคม</t>
    </r>
  </si>
  <si>
    <r>
      <t xml:space="preserve"> </t>
    </r>
    <r>
      <rPr>
        <b/>
        <u val="single"/>
        <sz val="17"/>
        <rFont val="TH SarabunIT๙"/>
        <family val="2"/>
      </rPr>
      <t>งานป้องกันและบรรเทาสาธารณภัย</t>
    </r>
  </si>
  <si>
    <r>
      <t xml:space="preserve"> </t>
    </r>
    <r>
      <rPr>
        <b/>
        <u val="single"/>
        <sz val="17"/>
        <rFont val="TH SarabunIT๙"/>
        <family val="2"/>
      </rPr>
      <t>งานบริหารงานทั่วไป</t>
    </r>
  </si>
  <si>
    <r>
      <rPr>
        <b/>
        <sz val="17"/>
        <rFont val="TH SarabunIT๙"/>
        <family val="2"/>
      </rPr>
      <t xml:space="preserve"> </t>
    </r>
    <r>
      <rPr>
        <b/>
        <u val="single"/>
        <sz val="17"/>
        <rFont val="TH SarabunIT๙"/>
        <family val="2"/>
      </rPr>
      <t>พนักงานจ้างตามภารกิจ</t>
    </r>
  </si>
  <si>
    <r>
      <rPr>
        <b/>
        <sz val="17"/>
        <rFont val="TH SarabunIT๙"/>
        <family val="2"/>
      </rPr>
      <t xml:space="preserve"> </t>
    </r>
    <r>
      <rPr>
        <b/>
        <u val="single"/>
        <sz val="17"/>
        <rFont val="TH SarabunIT๙"/>
        <family val="2"/>
      </rPr>
      <t>พนักงานจ้างทั่วไป</t>
    </r>
  </si>
  <si>
    <r>
      <t xml:space="preserve"> </t>
    </r>
    <r>
      <rPr>
        <b/>
        <u val="single"/>
        <sz val="17"/>
        <rFont val="TH SarabunIT๙"/>
        <family val="2"/>
      </rPr>
      <t>งานบริหารงานการคลัง</t>
    </r>
  </si>
  <si>
    <r>
      <rPr>
        <b/>
        <sz val="17"/>
        <rFont val="TH SarabunIT๙"/>
        <family val="2"/>
      </rPr>
      <t xml:space="preserve"> </t>
    </r>
    <r>
      <rPr>
        <b/>
        <u val="single"/>
        <sz val="17"/>
        <rFont val="TH SarabunIT๙"/>
        <family val="2"/>
      </rPr>
      <t>งานการเงินและบัญชี</t>
    </r>
  </si>
  <si>
    <r>
      <t xml:space="preserve"> </t>
    </r>
    <r>
      <rPr>
        <b/>
        <u val="single"/>
        <sz val="17"/>
        <rFont val="TH SarabunIT๙"/>
        <family val="2"/>
      </rPr>
      <t>งานพัสดุและทรัพย์สิน</t>
    </r>
  </si>
  <si>
    <r>
      <t xml:space="preserve"> </t>
    </r>
    <r>
      <rPr>
        <b/>
        <u val="single"/>
        <sz val="17"/>
        <rFont val="TH SarabunIT๙"/>
        <family val="2"/>
      </rPr>
      <t>งานจัดเก็บและพัฒนารายได้</t>
    </r>
  </si>
  <si>
    <r>
      <t xml:space="preserve"> </t>
    </r>
    <r>
      <rPr>
        <b/>
        <u val="single"/>
        <sz val="17"/>
        <rFont val="TH SarabunIT๙"/>
        <family val="2"/>
      </rPr>
      <t>งานก่อสร้าง</t>
    </r>
  </si>
  <si>
    <t xml:space="preserve"> ผู้อำนวยการกองคลัง </t>
  </si>
  <si>
    <t xml:space="preserve"> (นักบริหารงานการคลัง)</t>
  </si>
  <si>
    <t xml:space="preserve"> (นักบริหารงานช่าง)</t>
  </si>
  <si>
    <t xml:space="preserve"> หัวหน้าสำนักปลัด </t>
  </si>
  <si>
    <t xml:space="preserve"> (นักบริหารงานทั่วไป)</t>
  </si>
  <si>
    <t xml:space="preserve">   ค่าใช้จ่ายด้านบุคลากร </t>
  </si>
  <si>
    <t xml:space="preserve">   งบประมาณรายจ่ายปีงบประมาณ 2561  (รวมเงินอุดหนุน)</t>
  </si>
  <si>
    <t>พนักงานครู</t>
  </si>
  <si>
    <t>องค์การบริหาร</t>
  </si>
  <si>
    <t>(12,470)</t>
  </si>
  <si>
    <t>(18,790)</t>
  </si>
  <si>
    <t>(9,690)</t>
  </si>
  <si>
    <t>(10,590)</t>
  </si>
  <si>
    <t>(11,520)</t>
  </si>
  <si>
    <t>(9,000)</t>
  </si>
  <si>
    <t xml:space="preserve">             :  งบประมาณรายจ่ายประจำปี 2561</t>
  </si>
  <si>
    <t xml:space="preserve">             :  งบประมาณรายจ่ายประจำปี 2562</t>
  </si>
  <si>
    <t xml:space="preserve">             :  งบประมาณรายจ่ายประจำปี 2563</t>
  </si>
  <si>
    <t>(28,560)</t>
  </si>
  <si>
    <t>(17,690)</t>
  </si>
  <si>
    <t>(14,660)</t>
  </si>
  <si>
    <t>(12,940)</t>
  </si>
  <si>
    <t>(21,620)</t>
  </si>
  <si>
    <t>(11,500)</t>
  </si>
  <si>
    <t>(11,140)</t>
  </si>
  <si>
    <t xml:space="preserve">หมายเหตุ  :  งบประมาณรายจ่ายประจำปี 2560      </t>
  </si>
  <si>
    <t xml:space="preserve"> ผู้อำนวยการกองช่าง </t>
  </si>
  <si>
    <t>ตามมติ ก.อบต. จังหวัดกาญจนบุรี    ครั้งที่ ......... / 2560    เมื่อวันที่   .................เดือน..................................................  พ.ศ.  2560</t>
  </si>
  <si>
    <t>02-3-00-1101-001</t>
  </si>
  <si>
    <t>02-3-01-2101-001</t>
  </si>
  <si>
    <t>(30,790 x 12)</t>
  </si>
  <si>
    <t>(4,000 x 12)</t>
  </si>
  <si>
    <t>(3,500 x 12)</t>
  </si>
  <si>
    <t>(27,480 x 12)</t>
  </si>
  <si>
    <t>02-3-01-3102-001</t>
  </si>
  <si>
    <t>02-3-01-3103-001</t>
  </si>
  <si>
    <t>(22,980 x 12)</t>
  </si>
  <si>
    <t>(21,880 x 12)</t>
  </si>
  <si>
    <t>02-3-01-3801-001</t>
  </si>
  <si>
    <t>02-3-01-3803-001</t>
  </si>
  <si>
    <t>บริหารการศึกษา</t>
  </si>
  <si>
    <t>02-3-01-4101-001</t>
  </si>
  <si>
    <t xml:space="preserve"> การตลาด</t>
  </si>
  <si>
    <t>02-3-01-4805-001</t>
  </si>
  <si>
    <t>ครู</t>
  </si>
  <si>
    <t>นักจัดการงานทั่วไป</t>
  </si>
  <si>
    <t>(9,740+49,480) / 2 x 12</t>
  </si>
  <si>
    <t xml:space="preserve"> น.ส.มาลิดา  ธิตะจารี</t>
  </si>
  <si>
    <t xml:space="preserve"> น.ส.มุทิตา  ทองเปราะ</t>
  </si>
  <si>
    <t>(21,150 x 12)</t>
  </si>
  <si>
    <t>(17,910 x 12)</t>
  </si>
  <si>
    <t>(12,470 x 12)</t>
  </si>
  <si>
    <t>ผู้ช่วยนายช่างไฟฟ้า</t>
  </si>
  <si>
    <t>(8,750+40,900) / 2 x 12</t>
  </si>
  <si>
    <t>(18,790 x 12)</t>
  </si>
  <si>
    <t>(9,690x12)</t>
  </si>
  <si>
    <t>(10,590x12)</t>
  </si>
  <si>
    <t>(11,750x12)</t>
  </si>
  <si>
    <t xml:space="preserve"> น.ส.ธัญลักษณ์  ทองเปราะ</t>
  </si>
  <si>
    <t>(11,520x12)</t>
  </si>
  <si>
    <t>(11,250x12)</t>
  </si>
  <si>
    <t>(11,140x12)</t>
  </si>
  <si>
    <t>(11,360x12)</t>
  </si>
  <si>
    <t>(28,560x12)</t>
  </si>
  <si>
    <t>เจ้าพนักงานการเงิน</t>
  </si>
  <si>
    <t>และบัญชี</t>
  </si>
  <si>
    <t>02-3-04-2102-001</t>
  </si>
  <si>
    <t>02-3-04-4101-001</t>
  </si>
  <si>
    <t>02-3-04-4201-001</t>
  </si>
  <si>
    <t>02-3-04-4203-001</t>
  </si>
  <si>
    <t>02-3-04-4204-001</t>
  </si>
  <si>
    <t>02-3-05-2103-001</t>
  </si>
  <si>
    <t>02-3-05-4701-001</t>
  </si>
  <si>
    <t>02-3-05-4701-002</t>
  </si>
  <si>
    <t>(17,690x12)</t>
  </si>
  <si>
    <t>(14,660x12)</t>
  </si>
  <si>
    <t>(12,66940x12)</t>
  </si>
  <si>
    <t>(12,940x12)</t>
  </si>
  <si>
    <t>(21,620x12)</t>
  </si>
  <si>
    <t>(11,500x12)</t>
  </si>
  <si>
    <r>
      <rPr>
        <b/>
        <sz val="20"/>
        <color indexed="8"/>
        <rFont val="TH SarabunIT๙"/>
        <family val="2"/>
      </rPr>
      <t xml:space="preserve">   </t>
    </r>
    <r>
      <rPr>
        <b/>
        <u val="double"/>
        <sz val="20"/>
        <color indexed="8"/>
        <rFont val="TH SarabunIT๙"/>
        <family val="2"/>
      </rPr>
      <t>กองคลัง</t>
    </r>
  </si>
  <si>
    <r>
      <rPr>
        <b/>
        <sz val="20"/>
        <color indexed="8"/>
        <rFont val="TH SarabunIT๙"/>
        <family val="2"/>
      </rPr>
      <t xml:space="preserve">   </t>
    </r>
    <r>
      <rPr>
        <b/>
        <u val="double"/>
        <sz val="20"/>
        <color indexed="8"/>
        <rFont val="TH SarabunIT๙"/>
        <family val="2"/>
      </rPr>
      <t>กองช่าง</t>
    </r>
  </si>
  <si>
    <r>
      <rPr>
        <b/>
        <sz val="20"/>
        <color indexed="8"/>
        <rFont val="TH SarabunIT๙"/>
        <family val="2"/>
      </rPr>
      <t xml:space="preserve">   </t>
    </r>
    <r>
      <rPr>
        <b/>
        <u val="double"/>
        <sz val="20"/>
        <color indexed="8"/>
        <rFont val="TH SarabunIT๙"/>
        <family val="2"/>
      </rPr>
      <t>สำนักปลัด</t>
    </r>
  </si>
  <si>
    <t xml:space="preserve">(15,430+50,170) </t>
  </si>
  <si>
    <t xml:space="preserve"> / 2 x  12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</si>
</sst>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;[Red]#,##0"/>
    <numFmt numFmtId="185" formatCode="0.0"/>
    <numFmt numFmtId="186" formatCode="0;[Red]0"/>
    <numFmt numFmtId="187" formatCode="#,##0.0"/>
    <numFmt numFmtId="188" formatCode="[$-409]dddd\,\ mmmm\ dd\,\ yyyy"/>
    <numFmt numFmtId="189" formatCode="[$-409]h:mm:ss\ AM/PM"/>
    <numFmt numFmtId="190" formatCode="#,##0.0;[Red]#,##0.0"/>
    <numFmt numFmtId="191" formatCode="#,##0.00;[Red]#,##0.00"/>
    <numFmt numFmtId="192" formatCode="_(* #,##0.0_);_(* \(#,##0.0\);_(* &quot;-&quot;??_);_(@_)"/>
    <numFmt numFmtId="193" formatCode="_(* #,##0_);_(* \(#,##0\);_(* &quot;-&quot;??_);_(@_)"/>
    <numFmt numFmtId="194" formatCode="0.00000"/>
    <numFmt numFmtId="195" formatCode="0.0000"/>
    <numFmt numFmtId="196" formatCode="0.000"/>
    <numFmt numFmtId="197" formatCode="[$-41E]d\ mmmm\ yyyy"/>
    <numFmt numFmtId="198" formatCode="#\ ?/2"/>
    <numFmt numFmtId="199" formatCode="#\ ?/8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0.00000000"/>
    <numFmt numFmtId="205" formatCode="0.0000000"/>
    <numFmt numFmtId="206" formatCode="0.000000"/>
    <numFmt numFmtId="207" formatCode="#,##0_ ;\-#,##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sz val="17"/>
      <name val="Arial"/>
      <family val="2"/>
    </font>
    <font>
      <sz val="17"/>
      <name val="TH SarabunIT๙"/>
      <family val="2"/>
    </font>
    <font>
      <b/>
      <u val="double"/>
      <sz val="17"/>
      <name val="TH SarabunIT๙"/>
      <family val="2"/>
    </font>
    <font>
      <b/>
      <u val="single"/>
      <sz val="17"/>
      <name val="TH SarabunIT๙"/>
      <family val="2"/>
    </font>
    <font>
      <b/>
      <sz val="17"/>
      <name val="Arial"/>
      <family val="2"/>
    </font>
    <font>
      <b/>
      <sz val="17"/>
      <color indexed="8"/>
      <name val="TH SarabunIT๙"/>
      <family val="2"/>
    </font>
    <font>
      <sz val="17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double"/>
      <sz val="20"/>
      <color indexed="8"/>
      <name val="TH SarabunIT๙"/>
      <family val="2"/>
    </font>
    <font>
      <b/>
      <sz val="2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7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2" xfId="33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3" fontId="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33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3" fontId="3" fillId="0" borderId="22" xfId="33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center"/>
    </xf>
    <xf numFmtId="201" fontId="4" fillId="0" borderId="33" xfId="33" applyNumberFormat="1" applyFont="1" applyFill="1" applyBorder="1" applyAlignment="1">
      <alignment horizontal="right"/>
    </xf>
    <xf numFmtId="1" fontId="4" fillId="0" borderId="3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201" fontId="3" fillId="0" borderId="0" xfId="33" applyNumberFormat="1" applyFont="1" applyFill="1" applyBorder="1" applyAlignment="1">
      <alignment/>
    </xf>
    <xf numFmtId="201" fontId="3" fillId="0" borderId="0" xfId="33" applyNumberFormat="1" applyFont="1" applyFill="1" applyAlignment="1">
      <alignment/>
    </xf>
    <xf numFmtId="0" fontId="3" fillId="0" borderId="2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55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1" fontId="3" fillId="0" borderId="34" xfId="0" applyNumberFormat="1" applyFont="1" applyFill="1" applyBorder="1" applyAlignment="1">
      <alignment/>
    </xf>
    <xf numFmtId="201" fontId="3" fillId="0" borderId="34" xfId="33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33" xfId="33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8" fillId="0" borderId="10" xfId="55" applyFont="1" applyBorder="1" applyAlignment="1">
      <alignment horizontal="center"/>
      <protection/>
    </xf>
    <xf numFmtId="0" fontId="8" fillId="0" borderId="34" xfId="55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9" fillId="0" borderId="12" xfId="0" applyFont="1" applyBorder="1" applyAlignment="1">
      <alignment/>
    </xf>
    <xf numFmtId="0" fontId="8" fillId="0" borderId="16" xfId="55" applyFont="1" applyBorder="1" applyAlignment="1">
      <alignment horizontal="center"/>
      <protection/>
    </xf>
    <xf numFmtId="0" fontId="8" fillId="0" borderId="18" xfId="55" applyFont="1" applyBorder="1">
      <alignment/>
      <protection/>
    </xf>
    <xf numFmtId="0" fontId="8" fillId="0" borderId="18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8" xfId="55" applyFont="1" applyBorder="1" applyAlignment="1">
      <alignment horizontal="left"/>
      <protection/>
    </xf>
    <xf numFmtId="0" fontId="10" fillId="0" borderId="18" xfId="55" applyFont="1" applyBorder="1" applyAlignment="1">
      <alignment horizontal="center"/>
      <protection/>
    </xf>
    <xf numFmtId="0" fontId="10" fillId="0" borderId="18" xfId="55" applyFont="1" applyBorder="1" applyAlignment="1">
      <alignment horizontal="center" vertical="center"/>
      <protection/>
    </xf>
    <xf numFmtId="0" fontId="11" fillId="4" borderId="10" xfId="55" applyFont="1" applyFill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left"/>
      <protection/>
    </xf>
    <xf numFmtId="0" fontId="10" fillId="0" borderId="12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5" applyFont="1" applyBorder="1" applyAlignment="1" quotePrefix="1">
      <alignment horizontal="center" vertical="center"/>
      <protection/>
    </xf>
    <xf numFmtId="0" fontId="8" fillId="0" borderId="10" xfId="56" applyFont="1" applyBorder="1" applyAlignment="1">
      <alignment horizontal="left" vertical="center"/>
      <protection/>
    </xf>
    <xf numFmtId="0" fontId="10" fillId="0" borderId="12" xfId="56" applyFont="1" applyBorder="1" applyAlignment="1">
      <alignment horizontal="left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 wrapText="1"/>
      <protection/>
    </xf>
    <xf numFmtId="0" fontId="10" fillId="0" borderId="10" xfId="56" applyFont="1" applyBorder="1" applyAlignment="1">
      <alignment horizontal="left" vertical="center"/>
      <protection/>
    </xf>
    <xf numFmtId="0" fontId="10" fillId="0" borderId="18" xfId="56" applyFont="1" applyBorder="1" applyAlignment="1">
      <alignment horizontal="left" vertical="center"/>
      <protection/>
    </xf>
    <xf numFmtId="0" fontId="10" fillId="0" borderId="18" xfId="56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56" applyFont="1" applyBorder="1" applyAlignment="1">
      <alignment horizontal="left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10" fillId="0" borderId="12" xfId="55" applyFont="1" applyBorder="1" applyAlignment="1" quotePrefix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left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0" fillId="0" borderId="18" xfId="55" applyFont="1" applyBorder="1" applyAlignment="1" quotePrefix="1">
      <alignment horizontal="center" vertical="center"/>
      <protection/>
    </xf>
    <xf numFmtId="0" fontId="10" fillId="0" borderId="0" xfId="56" applyFont="1" applyBorder="1" applyAlignment="1">
      <alignment horizontal="left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0" xfId="55" applyFont="1" applyBorder="1" applyAlignment="1" quotePrefix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49" fontId="8" fillId="0" borderId="18" xfId="55" applyNumberFormat="1" applyFont="1" applyBorder="1" applyAlignment="1">
      <alignment horizontal="center"/>
      <protection/>
    </xf>
    <xf numFmtId="0" fontId="10" fillId="0" borderId="18" xfId="55" applyFont="1" applyBorder="1" applyAlignment="1" quotePrefix="1">
      <alignment horizontal="center"/>
      <protection/>
    </xf>
    <xf numFmtId="0" fontId="8" fillId="0" borderId="33" xfId="55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201" fontId="8" fillId="0" borderId="0" xfId="35" applyNumberFormat="1" applyFont="1" applyAlignment="1">
      <alignment/>
    </xf>
    <xf numFmtId="201" fontId="8" fillId="0" borderId="0" xfId="42" applyNumberFormat="1" applyFont="1" applyAlignment="1">
      <alignment/>
    </xf>
    <xf numFmtId="201" fontId="8" fillId="0" borderId="0" xfId="55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1" fontId="8" fillId="0" borderId="0" xfId="55" applyNumberFormat="1" applyFont="1" applyAlignment="1">
      <alignment/>
      <protection/>
    </xf>
    <xf numFmtId="49" fontId="3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3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37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shrinkToFit="1"/>
    </xf>
    <xf numFmtId="0" fontId="15" fillId="0" borderId="22" xfId="0" applyFont="1" applyBorder="1" applyAlignment="1">
      <alignment horizontal="center" shrinkToFit="1"/>
    </xf>
    <xf numFmtId="0" fontId="15" fillId="0" borderId="2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right" vertical="center"/>
    </xf>
    <xf numFmtId="201" fontId="15" fillId="0" borderId="22" xfId="33" applyNumberFormat="1" applyFont="1" applyBorder="1" applyAlignment="1">
      <alignment horizontal="right"/>
    </xf>
    <xf numFmtId="201" fontId="15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7" xfId="0" applyFont="1" applyBorder="1" applyAlignment="1">
      <alignment/>
    </xf>
    <xf numFmtId="201" fontId="15" fillId="0" borderId="18" xfId="33" applyNumberFormat="1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4" fillId="2" borderId="19" xfId="0" applyFont="1" applyFill="1" applyBorder="1" applyAlignment="1">
      <alignment/>
    </xf>
    <xf numFmtId="0" fontId="15" fillId="0" borderId="23" xfId="0" applyFont="1" applyBorder="1" applyAlignment="1">
      <alignment shrinkToFit="1"/>
    </xf>
    <xf numFmtId="0" fontId="15" fillId="0" borderId="38" xfId="0" applyFont="1" applyBorder="1" applyAlignment="1">
      <alignment horizontal="center" shrinkToFit="1"/>
    </xf>
    <xf numFmtId="0" fontId="15" fillId="0" borderId="23" xfId="0" applyFont="1" applyBorder="1" applyAlignment="1">
      <alignment horizontal="center" shrinkToFit="1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shrinkToFit="1"/>
    </xf>
    <xf numFmtId="0" fontId="15" fillId="0" borderId="18" xfId="0" applyFont="1" applyBorder="1" applyAlignment="1">
      <alignment horizontal="center" shrinkToFit="1"/>
    </xf>
    <xf numFmtId="0" fontId="15" fillId="0" borderId="39" xfId="0" applyFont="1" applyBorder="1" applyAlignment="1">
      <alignment horizontal="center" shrinkToFit="1"/>
    </xf>
    <xf numFmtId="201" fontId="15" fillId="0" borderId="18" xfId="33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shrinkToFit="1"/>
    </xf>
    <xf numFmtId="16" fontId="15" fillId="0" borderId="1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201" fontId="15" fillId="0" borderId="19" xfId="33" applyNumberFormat="1" applyFont="1" applyBorder="1" applyAlignment="1">
      <alignment horizontal="right"/>
    </xf>
    <xf numFmtId="201" fontId="15" fillId="0" borderId="19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shrinkToFit="1"/>
    </xf>
    <xf numFmtId="16" fontId="15" fillId="0" borderId="30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9" xfId="0" applyFont="1" applyBorder="1" applyAlignment="1">
      <alignment shrinkToFit="1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shrinkToFit="1"/>
    </xf>
    <xf numFmtId="0" fontId="15" fillId="0" borderId="12" xfId="0" applyFont="1" applyBorder="1" applyAlignment="1">
      <alignment horizontal="center" shrinkToFit="1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201" fontId="15" fillId="0" borderId="19" xfId="33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shrinkToFit="1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3" fontId="10" fillId="0" borderId="19" xfId="0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center" shrinkToFit="1"/>
    </xf>
    <xf numFmtId="0" fontId="54" fillId="0" borderId="19" xfId="0" applyFont="1" applyBorder="1" applyAlignment="1">
      <alignment horizontal="center"/>
    </xf>
    <xf numFmtId="201" fontId="15" fillId="0" borderId="22" xfId="33" applyNumberFormat="1" applyFont="1" applyBorder="1" applyAlignment="1">
      <alignment horizontal="center"/>
    </xf>
    <xf numFmtId="0" fontId="54" fillId="0" borderId="17" xfId="0" applyFont="1" applyBorder="1" applyAlignment="1">
      <alignment horizontal="center" shrinkToFit="1"/>
    </xf>
    <xf numFmtId="0" fontId="54" fillId="0" borderId="30" xfId="0" applyFont="1" applyBorder="1" applyAlignment="1">
      <alignment horizontal="center"/>
    </xf>
    <xf numFmtId="49" fontId="54" fillId="0" borderId="30" xfId="0" applyNumberFormat="1" applyFont="1" applyBorder="1" applyAlignment="1">
      <alignment horizontal="center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horizontal="center" shrinkToFit="1"/>
    </xf>
    <xf numFmtId="49" fontId="15" fillId="0" borderId="0" xfId="0" applyNumberFormat="1" applyFont="1" applyBorder="1" applyAlignment="1">
      <alignment horizontal="center"/>
    </xf>
    <xf numFmtId="201" fontId="15" fillId="0" borderId="0" xfId="33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shrinkToFit="1"/>
    </xf>
    <xf numFmtId="0" fontId="15" fillId="0" borderId="24" xfId="0" applyFont="1" applyBorder="1" applyAlignment="1">
      <alignment horizontal="center" shrinkToFit="1"/>
    </xf>
    <xf numFmtId="49" fontId="15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shrinkToFit="1"/>
    </xf>
    <xf numFmtId="0" fontId="15" fillId="0" borderId="10" xfId="0" applyFont="1" applyBorder="1" applyAlignment="1">
      <alignment horizontal="center" shrinkToFit="1"/>
    </xf>
    <xf numFmtId="0" fontId="54" fillId="0" borderId="0" xfId="0" applyFont="1" applyBorder="1" applyAlignment="1">
      <alignment/>
    </xf>
    <xf numFmtId="201" fontId="15" fillId="0" borderId="23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shrinkToFi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shrinkToFit="1"/>
    </xf>
    <xf numFmtId="0" fontId="10" fillId="0" borderId="38" xfId="0" applyFont="1" applyBorder="1" applyAlignment="1">
      <alignment horizontal="center" shrinkToFit="1"/>
    </xf>
    <xf numFmtId="201" fontId="10" fillId="0" borderId="22" xfId="33" applyNumberFormat="1" applyFont="1" applyBorder="1" applyAlignment="1">
      <alignment horizontal="right"/>
    </xf>
    <xf numFmtId="0" fontId="10" fillId="0" borderId="0" xfId="0" applyFont="1" applyAlignment="1">
      <alignment/>
    </xf>
    <xf numFmtId="201" fontId="10" fillId="0" borderId="0" xfId="0" applyNumberFormat="1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shrinkToFit="1"/>
    </xf>
    <xf numFmtId="201" fontId="10" fillId="0" borderId="22" xfId="33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shrinkToFit="1"/>
    </xf>
    <xf numFmtId="49" fontId="54" fillId="0" borderId="0" xfId="0" applyNumberFormat="1" applyFont="1" applyAlignment="1">
      <alignment horizont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01" fontId="15" fillId="0" borderId="31" xfId="33" applyNumberFormat="1" applyFont="1" applyBorder="1" applyAlignment="1">
      <alignment horizontal="left"/>
    </xf>
    <xf numFmtId="201" fontId="15" fillId="0" borderId="32" xfId="33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20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43" fontId="8" fillId="0" borderId="0" xfId="55" applyNumberFormat="1" applyFont="1" applyAlignment="1">
      <alignment horizontal="center"/>
      <protection/>
    </xf>
    <xf numFmtId="201" fontId="8" fillId="0" borderId="0" xfId="35" applyNumberFormat="1" applyFont="1" applyAlignment="1">
      <alignment horizontal="center"/>
    </xf>
    <xf numFmtId="43" fontId="8" fillId="0" borderId="0" xfId="35" applyNumberFormat="1" applyFont="1" applyAlignment="1">
      <alignment horizontal="center"/>
    </xf>
    <xf numFmtId="0" fontId="8" fillId="0" borderId="13" xfId="55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0" fontId="8" fillId="0" borderId="14" xfId="55" applyFont="1" applyBorder="1" applyAlignment="1">
      <alignment horizontal="center" wrapText="1"/>
      <protection/>
    </xf>
    <xf numFmtId="0" fontId="8" fillId="0" borderId="13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17" xfId="55" applyFont="1" applyBorder="1" applyAlignment="1">
      <alignment horizontal="center"/>
      <protection/>
    </xf>
    <xf numFmtId="0" fontId="8" fillId="0" borderId="36" xfId="55" applyFont="1" applyBorder="1" applyAlignment="1">
      <alignment horizontal="center"/>
      <protection/>
    </xf>
    <xf numFmtId="0" fontId="8" fillId="0" borderId="34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8" fillId="0" borderId="36" xfId="55" applyFont="1" applyBorder="1" applyAlignment="1">
      <alignment horizontal="center" wrapText="1"/>
      <protection/>
    </xf>
    <xf numFmtId="0" fontId="8" fillId="0" borderId="34" xfId="55" applyFont="1" applyBorder="1" applyAlignment="1">
      <alignment horizontal="center" wrapText="1"/>
      <protection/>
    </xf>
    <xf numFmtId="0" fontId="8" fillId="0" borderId="11" xfId="55" applyFont="1" applyBorder="1" applyAlignment="1">
      <alignment horizontal="center" wrapText="1"/>
      <protection/>
    </xf>
    <xf numFmtId="170" fontId="8" fillId="0" borderId="15" xfId="44" applyFont="1" applyBorder="1" applyAlignment="1">
      <alignment horizontal="center"/>
    </xf>
    <xf numFmtId="170" fontId="8" fillId="0" borderId="17" xfId="44" applyFont="1" applyBorder="1" applyAlignment="1">
      <alignment horizontal="center"/>
    </xf>
    <xf numFmtId="170" fontId="8" fillId="0" borderId="16" xfId="44" applyFont="1" applyBorder="1" applyAlignment="1">
      <alignment horizontal="center"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0" xfId="56" applyFont="1" applyBorder="1" applyAlignment="1">
      <alignment horizontal="center" vertical="center"/>
      <protection/>
    </xf>
    <xf numFmtId="201" fontId="8" fillId="0" borderId="0" xfId="42" applyNumberFormat="1" applyFont="1" applyAlignment="1">
      <alignment horizontal="center"/>
    </xf>
    <xf numFmtId="201" fontId="8" fillId="0" borderId="0" xfId="35" applyNumberFormat="1" applyFont="1" applyAlignment="1">
      <alignment horizontal="right"/>
    </xf>
    <xf numFmtId="0" fontId="33" fillId="0" borderId="19" xfId="0" applyFont="1" applyBorder="1" applyAlignment="1">
      <alignment shrinkToFit="1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shrinkToFit="1"/>
    </xf>
    <xf numFmtId="0" fontId="10" fillId="0" borderId="44" xfId="0" applyFont="1" applyBorder="1" applyAlignment="1">
      <alignment horizontal="center" shrinkToFit="1"/>
    </xf>
    <xf numFmtId="0" fontId="34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201" fontId="15" fillId="0" borderId="18" xfId="33" applyNumberFormat="1" applyFont="1" applyBorder="1" applyAlignment="1">
      <alignment horizontal="left"/>
    </xf>
    <xf numFmtId="201" fontId="15" fillId="0" borderId="22" xfId="33" applyNumberFormat="1" applyFont="1" applyBorder="1" applyAlignment="1">
      <alignment horizontal="left"/>
    </xf>
    <xf numFmtId="201" fontId="15" fillId="0" borderId="31" xfId="33" applyNumberFormat="1" applyFont="1" applyBorder="1" applyAlignment="1">
      <alignment/>
    </xf>
    <xf numFmtId="201" fontId="15" fillId="0" borderId="32" xfId="33" applyNumberFormat="1" applyFont="1" applyBorder="1" applyAlignment="1">
      <alignment/>
    </xf>
    <xf numFmtId="201" fontId="15" fillId="0" borderId="21" xfId="33" applyNumberFormat="1" applyFont="1" applyBorder="1" applyAlignment="1">
      <alignment horizontal="righ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0" xfId="0" applyFont="1" applyBorder="1" applyAlignment="1">
      <alignment/>
    </xf>
    <xf numFmtId="0" fontId="15" fillId="0" borderId="32" xfId="0" applyFont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35" fillId="2" borderId="20" xfId="0" applyFont="1" applyFill="1" applyBorder="1" applyAlignment="1">
      <alignment horizontal="left"/>
    </xf>
    <xf numFmtId="0" fontId="35" fillId="2" borderId="40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left"/>
    </xf>
    <xf numFmtId="0" fontId="35" fillId="2" borderId="41" xfId="0" applyFont="1" applyFill="1" applyBorder="1" applyAlignment="1">
      <alignment horizontal="left"/>
    </xf>
    <xf numFmtId="0" fontId="35" fillId="2" borderId="42" xfId="0" applyFont="1" applyFill="1" applyBorder="1" applyAlignment="1">
      <alignment horizontal="left"/>
    </xf>
    <xf numFmtId="0" fontId="35" fillId="2" borderId="43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 vertic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ครื่องหมายจุลภาค 2" xfId="41"/>
    <cellStyle name="เครื่องหมายจุลภาค 2 2" xfId="42"/>
    <cellStyle name="เครื่องหมายสกุลเงิน 2" xfId="43"/>
    <cellStyle name="เครื่องหมายสกุลเงิน 2 2" xfId="44"/>
    <cellStyle name="เซลล์ตรวจสอบ" xfId="45"/>
    <cellStyle name="เซลล์ที่มีการเชื่อมโยง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ดี" xfId="53"/>
    <cellStyle name="ปกติ 2" xfId="54"/>
    <cellStyle name="ปกติ 2 2" xfId="55"/>
    <cellStyle name="ปกติ_ปรับปรุงกรอบอัตรากำลัง ก.พ. 51 แก้ไข" xfId="56"/>
    <cellStyle name="ป้อนค่า" xfId="57"/>
    <cellStyle name="ปานกลาง" xfId="58"/>
    <cellStyle name="ผลรวม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view="pageBreakPreview" zoomScaleSheetLayoutView="100" zoomScalePageLayoutView="0" workbookViewId="0" topLeftCell="A67">
      <selection activeCell="B63" sqref="B63"/>
    </sheetView>
  </sheetViews>
  <sheetFormatPr defaultColWidth="9.140625" defaultRowHeight="21" customHeight="1"/>
  <cols>
    <col min="1" max="1" width="4.421875" style="2" customWidth="1"/>
    <col min="2" max="2" width="37.140625" style="1" customWidth="1"/>
    <col min="3" max="3" width="19.7109375" style="1" bestFit="1" customWidth="1"/>
    <col min="4" max="4" width="6.7109375" style="7" customWidth="1"/>
    <col min="5" max="5" width="6.7109375" style="4" customWidth="1"/>
    <col min="6" max="6" width="13.7109375" style="4" customWidth="1"/>
    <col min="7" max="9" width="6.57421875" style="4" customWidth="1"/>
    <col min="10" max="12" width="6.28125" style="7" customWidth="1"/>
    <col min="13" max="15" width="14.140625" style="8" customWidth="1"/>
    <col min="16" max="18" width="13.57421875" style="8" customWidth="1"/>
    <col min="19" max="19" width="10.57421875" style="5" customWidth="1"/>
    <col min="20" max="22" width="9.140625" style="5" customWidth="1"/>
    <col min="23" max="16384" width="9.140625" style="6" customWidth="1"/>
  </cols>
  <sheetData>
    <row r="1" spans="2:18" ht="21" customHeight="1">
      <c r="B1" s="3"/>
      <c r="C1" s="3"/>
      <c r="D1" s="3"/>
      <c r="E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2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" customHeight="1">
      <c r="B3" s="114" t="s">
        <v>68</v>
      </c>
    </row>
    <row r="4" ht="21" customHeight="1">
      <c r="B4" s="1" t="s">
        <v>241</v>
      </c>
    </row>
    <row r="6" spans="1:19" ht="21" customHeight="1">
      <c r="A6" s="325" t="s">
        <v>3</v>
      </c>
      <c r="B6" s="325" t="s">
        <v>4</v>
      </c>
      <c r="C6" s="10"/>
      <c r="D6" s="9" t="s">
        <v>51</v>
      </c>
      <c r="E6" s="329" t="s">
        <v>49</v>
      </c>
      <c r="F6" s="330"/>
      <c r="G6" s="329" t="s">
        <v>1</v>
      </c>
      <c r="H6" s="331"/>
      <c r="I6" s="330"/>
      <c r="J6" s="309" t="s">
        <v>5</v>
      </c>
      <c r="K6" s="310"/>
      <c r="L6" s="311"/>
      <c r="M6" s="312" t="s">
        <v>6</v>
      </c>
      <c r="N6" s="313"/>
      <c r="O6" s="313"/>
      <c r="P6" s="312" t="s">
        <v>7</v>
      </c>
      <c r="Q6" s="313"/>
      <c r="R6" s="314"/>
      <c r="S6" s="12"/>
    </row>
    <row r="7" spans="1:19" ht="21" customHeight="1">
      <c r="A7" s="326"/>
      <c r="B7" s="328"/>
      <c r="C7" s="13" t="s">
        <v>8</v>
      </c>
      <c r="D7" s="13" t="s">
        <v>52</v>
      </c>
      <c r="E7" s="316" t="s">
        <v>50</v>
      </c>
      <c r="F7" s="317"/>
      <c r="G7" s="316" t="s">
        <v>2</v>
      </c>
      <c r="H7" s="318"/>
      <c r="I7" s="317"/>
      <c r="J7" s="319" t="s">
        <v>10</v>
      </c>
      <c r="K7" s="320"/>
      <c r="L7" s="321"/>
      <c r="M7" s="322" t="s">
        <v>11</v>
      </c>
      <c r="N7" s="323"/>
      <c r="O7" s="323"/>
      <c r="P7" s="14"/>
      <c r="Q7" s="15"/>
      <c r="R7" s="16"/>
      <c r="S7" s="17" t="s">
        <v>71</v>
      </c>
    </row>
    <row r="8" spans="1:19" ht="21" customHeight="1">
      <c r="A8" s="326"/>
      <c r="B8" s="326"/>
      <c r="C8" s="13" t="s">
        <v>12</v>
      </c>
      <c r="D8" s="13" t="s">
        <v>53</v>
      </c>
      <c r="E8" s="18"/>
      <c r="F8" s="19"/>
      <c r="G8" s="332" t="s">
        <v>13</v>
      </c>
      <c r="H8" s="333"/>
      <c r="I8" s="334"/>
      <c r="J8" s="22"/>
      <c r="K8" s="23"/>
      <c r="L8" s="24"/>
      <c r="M8" s="25"/>
      <c r="N8" s="26"/>
      <c r="O8" s="26"/>
      <c r="P8" s="27"/>
      <c r="Q8" s="28"/>
      <c r="R8" s="29"/>
      <c r="S8" s="30"/>
    </row>
    <row r="9" spans="1:22" s="2" customFormat="1" ht="21" customHeight="1">
      <c r="A9" s="326"/>
      <c r="B9" s="326"/>
      <c r="C9" s="31"/>
      <c r="D9" s="13" t="s">
        <v>54</v>
      </c>
      <c r="E9" s="11" t="s">
        <v>9</v>
      </c>
      <c r="F9" s="32" t="s">
        <v>14</v>
      </c>
      <c r="G9" s="32">
        <v>2561</v>
      </c>
      <c r="H9" s="32">
        <v>2562</v>
      </c>
      <c r="I9" s="11">
        <v>2563</v>
      </c>
      <c r="J9" s="32">
        <v>2561</v>
      </c>
      <c r="K9" s="32">
        <v>2562</v>
      </c>
      <c r="L9" s="11">
        <v>2563</v>
      </c>
      <c r="M9" s="32">
        <v>2561</v>
      </c>
      <c r="N9" s="32">
        <v>2562</v>
      </c>
      <c r="O9" s="11">
        <v>2563</v>
      </c>
      <c r="P9" s="32">
        <v>2561</v>
      </c>
      <c r="Q9" s="32">
        <v>2562</v>
      </c>
      <c r="R9" s="11">
        <v>2563</v>
      </c>
      <c r="S9" s="33"/>
      <c r="T9" s="34"/>
      <c r="U9" s="34"/>
      <c r="V9" s="34"/>
    </row>
    <row r="10" spans="1:22" s="2" customFormat="1" ht="21" customHeight="1">
      <c r="A10" s="327"/>
      <c r="B10" s="327"/>
      <c r="C10" s="35"/>
      <c r="D10" s="35"/>
      <c r="E10" s="36" t="s">
        <v>15</v>
      </c>
      <c r="F10" s="37" t="s">
        <v>16</v>
      </c>
      <c r="G10" s="37"/>
      <c r="H10" s="38"/>
      <c r="I10" s="39"/>
      <c r="J10" s="36"/>
      <c r="K10" s="21"/>
      <c r="L10" s="36"/>
      <c r="M10" s="21"/>
      <c r="N10" s="36"/>
      <c r="O10" s="21"/>
      <c r="P10" s="36"/>
      <c r="Q10" s="36"/>
      <c r="R10" s="20"/>
      <c r="S10" s="36"/>
      <c r="T10" s="34"/>
      <c r="U10" s="34"/>
      <c r="V10" s="34"/>
    </row>
    <row r="11" spans="1:19" ht="21" customHeight="1">
      <c r="A11" s="40">
        <v>1</v>
      </c>
      <c r="B11" s="41" t="s">
        <v>47</v>
      </c>
      <c r="C11" s="42" t="s">
        <v>19</v>
      </c>
      <c r="D11" s="43">
        <v>1</v>
      </c>
      <c r="E11" s="43">
        <v>1</v>
      </c>
      <c r="F11" s="44">
        <f>(30790*12)+(4000*12)</f>
        <v>417480</v>
      </c>
      <c r="G11" s="45">
        <v>1</v>
      </c>
      <c r="H11" s="46">
        <v>1</v>
      </c>
      <c r="I11" s="45">
        <v>1</v>
      </c>
      <c r="J11" s="42" t="s">
        <v>0</v>
      </c>
      <c r="K11" s="42" t="s">
        <v>0</v>
      </c>
      <c r="L11" s="42" t="s">
        <v>0</v>
      </c>
      <c r="M11" s="44">
        <f>(31880-30790)*12</f>
        <v>13080</v>
      </c>
      <c r="N11" s="44">
        <f>(33000-31880)*12</f>
        <v>13440</v>
      </c>
      <c r="O11" s="44">
        <f>(34110-33000)*12</f>
        <v>13320</v>
      </c>
      <c r="P11" s="47">
        <f>+F11+M11</f>
        <v>430560</v>
      </c>
      <c r="Q11" s="44">
        <f>+N11+P11</f>
        <v>444000</v>
      </c>
      <c r="R11" s="44">
        <f>+O11+Q11</f>
        <v>457320</v>
      </c>
      <c r="S11" s="130" t="s">
        <v>243</v>
      </c>
    </row>
    <row r="12" spans="1:19" ht="21" customHeight="1">
      <c r="A12" s="64"/>
      <c r="B12" s="120" t="s">
        <v>48</v>
      </c>
      <c r="C12" s="66"/>
      <c r="D12" s="121"/>
      <c r="E12" s="67"/>
      <c r="F12" s="70"/>
      <c r="G12" s="68"/>
      <c r="H12" s="69"/>
      <c r="I12" s="68"/>
      <c r="J12" s="66"/>
      <c r="K12" s="66"/>
      <c r="L12" s="66"/>
      <c r="M12" s="70"/>
      <c r="N12" s="55"/>
      <c r="O12" s="55"/>
      <c r="P12" s="55"/>
      <c r="Q12" s="55"/>
      <c r="R12" s="55"/>
      <c r="S12" s="131"/>
    </row>
    <row r="13" spans="1:19" ht="21" customHeight="1">
      <c r="A13" s="48"/>
      <c r="B13" s="49"/>
      <c r="C13" s="50"/>
      <c r="D13" s="33"/>
      <c r="E13" s="33"/>
      <c r="F13" s="51"/>
      <c r="G13" s="52"/>
      <c r="H13" s="16"/>
      <c r="I13" s="52"/>
      <c r="J13" s="50"/>
      <c r="K13" s="50"/>
      <c r="L13" s="50"/>
      <c r="M13" s="53"/>
      <c r="N13" s="55"/>
      <c r="O13" s="55"/>
      <c r="P13" s="54"/>
      <c r="Q13" s="55"/>
      <c r="R13" s="55"/>
      <c r="S13" s="132"/>
    </row>
    <row r="14" spans="1:19" ht="21" customHeight="1">
      <c r="A14" s="56"/>
      <c r="B14" s="57" t="s">
        <v>74</v>
      </c>
      <c r="C14" s="58"/>
      <c r="D14" s="59"/>
      <c r="E14" s="59"/>
      <c r="F14" s="60"/>
      <c r="G14" s="61"/>
      <c r="H14" s="62"/>
      <c r="I14" s="61"/>
      <c r="J14" s="58"/>
      <c r="K14" s="58"/>
      <c r="L14" s="58"/>
      <c r="M14" s="53"/>
      <c r="N14" s="55"/>
      <c r="O14" s="55"/>
      <c r="P14" s="63"/>
      <c r="Q14" s="55"/>
      <c r="R14" s="55"/>
      <c r="S14" s="134"/>
    </row>
    <row r="15" spans="1:19" ht="21" customHeight="1">
      <c r="A15" s="64">
        <v>2</v>
      </c>
      <c r="B15" s="65" t="s">
        <v>20</v>
      </c>
      <c r="C15" s="66" t="s">
        <v>19</v>
      </c>
      <c r="D15" s="67">
        <v>1</v>
      </c>
      <c r="E15" s="67">
        <v>1</v>
      </c>
      <c r="F15" s="55">
        <f>(27480*12)+(3500*12)</f>
        <v>371760</v>
      </c>
      <c r="G15" s="68">
        <v>1</v>
      </c>
      <c r="H15" s="69">
        <v>1</v>
      </c>
      <c r="I15" s="68">
        <v>1</v>
      </c>
      <c r="J15" s="66" t="s">
        <v>0</v>
      </c>
      <c r="K15" s="66" t="s">
        <v>0</v>
      </c>
      <c r="L15" s="66" t="s">
        <v>0</v>
      </c>
      <c r="M15" s="53">
        <f>(28560-27480)*12</f>
        <v>12960</v>
      </c>
      <c r="N15" s="53">
        <f>(29680-28560)*12</f>
        <v>13440</v>
      </c>
      <c r="O15" s="53">
        <f>(30790-29680)*12</f>
        <v>13320</v>
      </c>
      <c r="P15" s="70">
        <f aca="true" t="shared" si="0" ref="P15:P21">+F15+M15</f>
        <v>384720</v>
      </c>
      <c r="Q15" s="55">
        <f aca="true" t="shared" si="1" ref="Q15:R18">+N15+P15</f>
        <v>398160</v>
      </c>
      <c r="R15" s="55">
        <f t="shared" si="1"/>
        <v>411480</v>
      </c>
      <c r="S15" s="133" t="s">
        <v>244</v>
      </c>
    </row>
    <row r="16" spans="1:19" ht="21" customHeight="1">
      <c r="A16" s="64">
        <v>3</v>
      </c>
      <c r="B16" s="65" t="s">
        <v>21</v>
      </c>
      <c r="C16" s="66" t="s">
        <v>42</v>
      </c>
      <c r="D16" s="67">
        <v>1</v>
      </c>
      <c r="E16" s="67" t="s">
        <v>0</v>
      </c>
      <c r="F16" s="55">
        <f>((9740+49480)/2)*12</f>
        <v>355320</v>
      </c>
      <c r="G16" s="68">
        <v>1</v>
      </c>
      <c r="H16" s="69">
        <v>1</v>
      </c>
      <c r="I16" s="68">
        <v>1</v>
      </c>
      <c r="J16" s="66" t="s">
        <v>0</v>
      </c>
      <c r="K16" s="66" t="s">
        <v>0</v>
      </c>
      <c r="L16" s="66" t="s">
        <v>0</v>
      </c>
      <c r="M16" s="53">
        <f>(((10250-9740)+(49480-47990))/2)*12</f>
        <v>12000</v>
      </c>
      <c r="N16" s="53">
        <f>(((10250-9740)+(49480-47990))/2)*12</f>
        <v>12000</v>
      </c>
      <c r="O16" s="53">
        <f>(((10250-9740)+(49480-47990))/2)*12</f>
        <v>12000</v>
      </c>
      <c r="P16" s="70">
        <f t="shared" si="0"/>
        <v>367320</v>
      </c>
      <c r="Q16" s="55">
        <f t="shared" si="1"/>
        <v>379320</v>
      </c>
      <c r="R16" s="55">
        <f t="shared" si="1"/>
        <v>391320</v>
      </c>
      <c r="S16" s="135" t="s">
        <v>73</v>
      </c>
    </row>
    <row r="17" spans="1:19" ht="21" customHeight="1">
      <c r="A17" s="64">
        <v>4</v>
      </c>
      <c r="B17" s="65" t="s">
        <v>24</v>
      </c>
      <c r="C17" s="66" t="s">
        <v>44</v>
      </c>
      <c r="D17" s="67">
        <v>1</v>
      </c>
      <c r="E17" s="67">
        <v>1</v>
      </c>
      <c r="F17" s="55">
        <f>22980*12</f>
        <v>275760</v>
      </c>
      <c r="G17" s="68">
        <v>1</v>
      </c>
      <c r="H17" s="69">
        <v>1</v>
      </c>
      <c r="I17" s="68">
        <v>1</v>
      </c>
      <c r="J17" s="66" t="s">
        <v>0</v>
      </c>
      <c r="K17" s="66" t="s">
        <v>0</v>
      </c>
      <c r="L17" s="66" t="s">
        <v>0</v>
      </c>
      <c r="M17" s="53">
        <f>(23710-22980)*12</f>
        <v>8760</v>
      </c>
      <c r="N17" s="53">
        <f>(24480-23710)*12</f>
        <v>9240</v>
      </c>
      <c r="O17" s="53">
        <f>(25270-24480)*12</f>
        <v>9480</v>
      </c>
      <c r="P17" s="70">
        <f t="shared" si="0"/>
        <v>284520</v>
      </c>
      <c r="Q17" s="55">
        <f t="shared" si="1"/>
        <v>293760</v>
      </c>
      <c r="R17" s="55">
        <f t="shared" si="1"/>
        <v>303240</v>
      </c>
      <c r="S17" s="133" t="s">
        <v>246</v>
      </c>
    </row>
    <row r="18" spans="1:19" ht="21" customHeight="1">
      <c r="A18" s="64">
        <v>5</v>
      </c>
      <c r="B18" s="65" t="s">
        <v>25</v>
      </c>
      <c r="C18" s="66" t="s">
        <v>44</v>
      </c>
      <c r="D18" s="67">
        <v>1</v>
      </c>
      <c r="E18" s="67">
        <v>1</v>
      </c>
      <c r="F18" s="55">
        <f>21880*12</f>
        <v>262560</v>
      </c>
      <c r="G18" s="68">
        <v>1</v>
      </c>
      <c r="H18" s="69">
        <v>1</v>
      </c>
      <c r="I18" s="68">
        <v>1</v>
      </c>
      <c r="J18" s="66" t="s">
        <v>0</v>
      </c>
      <c r="K18" s="66" t="s">
        <v>0</v>
      </c>
      <c r="L18" s="66" t="s">
        <v>0</v>
      </c>
      <c r="M18" s="53">
        <f>(22600-21880)*12</f>
        <v>8640</v>
      </c>
      <c r="N18" s="53">
        <f>(23340-22600)*12</f>
        <v>8880</v>
      </c>
      <c r="O18" s="53">
        <f>(24090-23340)*12</f>
        <v>9000</v>
      </c>
      <c r="P18" s="70">
        <f t="shared" si="0"/>
        <v>271200</v>
      </c>
      <c r="Q18" s="55">
        <f t="shared" si="1"/>
        <v>280080</v>
      </c>
      <c r="R18" s="55">
        <f t="shared" si="1"/>
        <v>289080</v>
      </c>
      <c r="S18" s="133" t="s">
        <v>245</v>
      </c>
    </row>
    <row r="19" spans="1:19" ht="21" customHeight="1">
      <c r="A19" s="64">
        <v>6</v>
      </c>
      <c r="B19" s="65" t="s">
        <v>43</v>
      </c>
      <c r="C19" s="66" t="s">
        <v>42</v>
      </c>
      <c r="D19" s="67">
        <v>1</v>
      </c>
      <c r="E19" s="67" t="s">
        <v>0</v>
      </c>
      <c r="F19" s="55">
        <f>((9740+49480)/2)*12</f>
        <v>355320</v>
      </c>
      <c r="G19" s="68">
        <v>1</v>
      </c>
      <c r="H19" s="69">
        <v>1</v>
      </c>
      <c r="I19" s="68">
        <v>1</v>
      </c>
      <c r="J19" s="66" t="s">
        <v>0</v>
      </c>
      <c r="K19" s="66" t="s">
        <v>0</v>
      </c>
      <c r="L19" s="66" t="s">
        <v>0</v>
      </c>
      <c r="M19" s="53">
        <f>(((10250-9740)+(49480-47990))/2)*12</f>
        <v>12000</v>
      </c>
      <c r="N19" s="53">
        <f>(((10250-9740)+(49480-47990))/2)*12</f>
        <v>12000</v>
      </c>
      <c r="O19" s="53">
        <f>(((10250-9740)+(49480-47990))/2)*12</f>
        <v>12000</v>
      </c>
      <c r="P19" s="70">
        <f t="shared" si="0"/>
        <v>367320</v>
      </c>
      <c r="Q19" s="55">
        <f>+P19+N19</f>
        <v>379320</v>
      </c>
      <c r="R19" s="55">
        <f>+Q19+O19</f>
        <v>391320</v>
      </c>
      <c r="S19" s="135" t="s">
        <v>73</v>
      </c>
    </row>
    <row r="20" spans="1:19" ht="21" customHeight="1">
      <c r="A20" s="64">
        <v>7</v>
      </c>
      <c r="B20" s="65" t="s">
        <v>23</v>
      </c>
      <c r="C20" s="66" t="s">
        <v>46</v>
      </c>
      <c r="D20" s="67">
        <v>1</v>
      </c>
      <c r="E20" s="67">
        <v>1</v>
      </c>
      <c r="F20" s="55">
        <f>12470*12</f>
        <v>149640</v>
      </c>
      <c r="G20" s="68">
        <v>1</v>
      </c>
      <c r="H20" s="69">
        <v>1</v>
      </c>
      <c r="I20" s="68">
        <v>1</v>
      </c>
      <c r="J20" s="66" t="s">
        <v>0</v>
      </c>
      <c r="K20" s="66" t="s">
        <v>0</v>
      </c>
      <c r="L20" s="66" t="s">
        <v>0</v>
      </c>
      <c r="M20" s="53">
        <f>(12970-12470)*12</f>
        <v>6000</v>
      </c>
      <c r="N20" s="53">
        <f>(13500-12970)*12</f>
        <v>6360</v>
      </c>
      <c r="O20" s="53">
        <f>(14030-13500)*12</f>
        <v>6360</v>
      </c>
      <c r="P20" s="53">
        <f t="shared" si="0"/>
        <v>155640</v>
      </c>
      <c r="Q20" s="53">
        <f>+P20+N20</f>
        <v>162000</v>
      </c>
      <c r="R20" s="53">
        <f>+Q20+O20</f>
        <v>168360</v>
      </c>
      <c r="S20" s="133" t="s">
        <v>270</v>
      </c>
    </row>
    <row r="21" spans="1:19" ht="21" customHeight="1">
      <c r="A21" s="64">
        <v>8</v>
      </c>
      <c r="B21" s="65" t="s">
        <v>26</v>
      </c>
      <c r="C21" s="66" t="s">
        <v>40</v>
      </c>
      <c r="D21" s="67">
        <v>1</v>
      </c>
      <c r="E21" s="67" t="s">
        <v>0</v>
      </c>
      <c r="F21" s="55">
        <f>((8750+40900)/2)*12</f>
        <v>297900</v>
      </c>
      <c r="G21" s="68">
        <v>1</v>
      </c>
      <c r="H21" s="69">
        <v>1</v>
      </c>
      <c r="I21" s="68">
        <v>1</v>
      </c>
      <c r="J21" s="66" t="s">
        <v>0</v>
      </c>
      <c r="K21" s="66" t="s">
        <v>0</v>
      </c>
      <c r="L21" s="66" t="s">
        <v>0</v>
      </c>
      <c r="M21" s="53">
        <f>(((9090-8750)+(40900-39620))/2)*12</f>
        <v>9720</v>
      </c>
      <c r="N21" s="53">
        <f>(((9090-8750)+(40900-39620))/2)*12</f>
        <v>9720</v>
      </c>
      <c r="O21" s="53">
        <f>(((9090-8750)+(40900-39620))/2)*12</f>
        <v>9720</v>
      </c>
      <c r="P21" s="70">
        <f t="shared" si="0"/>
        <v>307620</v>
      </c>
      <c r="Q21" s="55">
        <f>+N21+P21</f>
        <v>317340</v>
      </c>
      <c r="R21" s="55">
        <f>+O21+Q21</f>
        <v>327060</v>
      </c>
      <c r="S21" s="135" t="s">
        <v>73</v>
      </c>
    </row>
    <row r="22" spans="1:19" ht="21" customHeight="1">
      <c r="A22" s="64">
        <v>9</v>
      </c>
      <c r="B22" s="65" t="s">
        <v>232</v>
      </c>
      <c r="C22" s="66" t="s">
        <v>115</v>
      </c>
      <c r="D22" s="67">
        <v>6</v>
      </c>
      <c r="E22" s="67">
        <v>6</v>
      </c>
      <c r="F22" s="73" t="s">
        <v>0</v>
      </c>
      <c r="G22" s="68">
        <v>6</v>
      </c>
      <c r="H22" s="69">
        <v>6</v>
      </c>
      <c r="I22" s="68">
        <v>6</v>
      </c>
      <c r="J22" s="66" t="s">
        <v>0</v>
      </c>
      <c r="K22" s="66" t="s">
        <v>0</v>
      </c>
      <c r="L22" s="66" t="s">
        <v>0</v>
      </c>
      <c r="M22" s="66" t="s">
        <v>0</v>
      </c>
      <c r="N22" s="66" t="s">
        <v>0</v>
      </c>
      <c r="O22" s="66" t="s">
        <v>0</v>
      </c>
      <c r="P22" s="66" t="s">
        <v>0</v>
      </c>
      <c r="Q22" s="66" t="s">
        <v>0</v>
      </c>
      <c r="R22" s="66" t="s">
        <v>0</v>
      </c>
      <c r="S22" s="130" t="s">
        <v>72</v>
      </c>
    </row>
    <row r="23" spans="1:19" ht="21" customHeight="1">
      <c r="A23" s="64"/>
      <c r="B23" s="75" t="s">
        <v>75</v>
      </c>
      <c r="C23" s="66"/>
      <c r="D23" s="67"/>
      <c r="E23" s="67"/>
      <c r="F23" s="55"/>
      <c r="G23" s="68"/>
      <c r="H23" s="69"/>
      <c r="I23" s="68"/>
      <c r="J23" s="66"/>
      <c r="K23" s="66"/>
      <c r="L23" s="66"/>
      <c r="M23" s="53"/>
      <c r="N23" s="53"/>
      <c r="O23" s="71"/>
      <c r="P23" s="72"/>
      <c r="Q23" s="55"/>
      <c r="R23" s="55"/>
      <c r="S23" s="135"/>
    </row>
    <row r="24" spans="1:19" ht="21" customHeight="1">
      <c r="A24" s="64">
        <v>10</v>
      </c>
      <c r="B24" s="65" t="s">
        <v>231</v>
      </c>
      <c r="C24" s="66" t="s">
        <v>0</v>
      </c>
      <c r="D24" s="67">
        <v>1</v>
      </c>
      <c r="E24" s="67">
        <v>1</v>
      </c>
      <c r="F24" s="76">
        <f>18790*12</f>
        <v>225480</v>
      </c>
      <c r="G24" s="68">
        <v>1</v>
      </c>
      <c r="H24" s="69">
        <v>1</v>
      </c>
      <c r="I24" s="68">
        <v>1</v>
      </c>
      <c r="J24" s="66" t="s">
        <v>0</v>
      </c>
      <c r="K24" s="66" t="s">
        <v>0</v>
      </c>
      <c r="L24" s="66" t="s">
        <v>0</v>
      </c>
      <c r="M24" s="53">
        <f>(19410-18790)*12</f>
        <v>7440</v>
      </c>
      <c r="N24" s="53">
        <f>(20040-19410)*12</f>
        <v>7560</v>
      </c>
      <c r="O24" s="53">
        <f>(20680-20040)*12</f>
        <v>7680</v>
      </c>
      <c r="P24" s="72">
        <f>+F24+M24</f>
        <v>232920</v>
      </c>
      <c r="Q24" s="55">
        <f>+N24+P24</f>
        <v>240480</v>
      </c>
      <c r="R24" s="55">
        <f>+O24+Q24</f>
        <v>248160</v>
      </c>
      <c r="S24" s="133" t="s">
        <v>271</v>
      </c>
    </row>
    <row r="25" spans="1:19" ht="21" customHeight="1">
      <c r="A25" s="64"/>
      <c r="B25" s="75" t="s">
        <v>77</v>
      </c>
      <c r="C25" s="66"/>
      <c r="D25" s="67"/>
      <c r="E25" s="67"/>
      <c r="F25" s="76"/>
      <c r="G25" s="68"/>
      <c r="H25" s="69"/>
      <c r="I25" s="68"/>
      <c r="J25" s="66"/>
      <c r="K25" s="66"/>
      <c r="L25" s="66"/>
      <c r="M25" s="53"/>
      <c r="N25" s="53"/>
      <c r="O25" s="71"/>
      <c r="P25" s="77"/>
      <c r="Q25" s="77"/>
      <c r="R25" s="77"/>
      <c r="S25" s="133"/>
    </row>
    <row r="26" spans="1:19" ht="21" customHeight="1">
      <c r="A26" s="64">
        <v>11</v>
      </c>
      <c r="B26" s="65" t="s">
        <v>37</v>
      </c>
      <c r="C26" s="66" t="s">
        <v>0</v>
      </c>
      <c r="D26" s="67">
        <v>1</v>
      </c>
      <c r="E26" s="67">
        <v>1</v>
      </c>
      <c r="F26" s="55">
        <f>(9690*12)</f>
        <v>116280</v>
      </c>
      <c r="G26" s="68">
        <v>1</v>
      </c>
      <c r="H26" s="69">
        <v>1</v>
      </c>
      <c r="I26" s="68">
        <v>1</v>
      </c>
      <c r="J26" s="66" t="s">
        <v>0</v>
      </c>
      <c r="K26" s="66" t="s">
        <v>0</v>
      </c>
      <c r="L26" s="66" t="s">
        <v>0</v>
      </c>
      <c r="M26" s="53">
        <f>(390*12)</f>
        <v>4680</v>
      </c>
      <c r="N26" s="53">
        <f>(410*12)</f>
        <v>4920</v>
      </c>
      <c r="O26" s="53">
        <f>420*12</f>
        <v>5040</v>
      </c>
      <c r="P26" s="77">
        <f>+F26+M26</f>
        <v>120960</v>
      </c>
      <c r="Q26" s="77">
        <f aca="true" t="shared" si="2" ref="Q26:R28">+P26+N26</f>
        <v>125880</v>
      </c>
      <c r="R26" s="77">
        <f t="shared" si="2"/>
        <v>130920</v>
      </c>
      <c r="S26" s="133" t="s">
        <v>272</v>
      </c>
    </row>
    <row r="27" spans="1:19" ht="21" customHeight="1">
      <c r="A27" s="64">
        <v>12</v>
      </c>
      <c r="B27" s="65" t="s">
        <v>37</v>
      </c>
      <c r="C27" s="66" t="s">
        <v>0</v>
      </c>
      <c r="D27" s="67">
        <v>1</v>
      </c>
      <c r="E27" s="67">
        <v>1</v>
      </c>
      <c r="F27" s="55">
        <f>(10590*12)</f>
        <v>127080</v>
      </c>
      <c r="G27" s="68">
        <v>1</v>
      </c>
      <c r="H27" s="69">
        <v>1</v>
      </c>
      <c r="I27" s="68">
        <v>1</v>
      </c>
      <c r="J27" s="66" t="s">
        <v>0</v>
      </c>
      <c r="K27" s="66" t="s">
        <v>0</v>
      </c>
      <c r="L27" s="66" t="s">
        <v>0</v>
      </c>
      <c r="M27" s="53">
        <f>(430*12)</f>
        <v>5160</v>
      </c>
      <c r="N27" s="53">
        <f>(450*12)</f>
        <v>5400</v>
      </c>
      <c r="O27" s="53">
        <f>460*12</f>
        <v>5520</v>
      </c>
      <c r="P27" s="77">
        <f>+F27+M27</f>
        <v>132240</v>
      </c>
      <c r="Q27" s="77">
        <f t="shared" si="2"/>
        <v>137640</v>
      </c>
      <c r="R27" s="77">
        <f t="shared" si="2"/>
        <v>143160</v>
      </c>
      <c r="S27" s="133" t="s">
        <v>273</v>
      </c>
    </row>
    <row r="28" spans="1:19" ht="21" customHeight="1">
      <c r="A28" s="64">
        <v>13</v>
      </c>
      <c r="B28" s="65" t="s">
        <v>27</v>
      </c>
      <c r="C28" s="66" t="s">
        <v>0</v>
      </c>
      <c r="D28" s="67">
        <v>1</v>
      </c>
      <c r="E28" s="67">
        <v>1</v>
      </c>
      <c r="F28" s="55">
        <f>(11520*12)</f>
        <v>138240</v>
      </c>
      <c r="G28" s="68">
        <v>1</v>
      </c>
      <c r="H28" s="69">
        <v>1</v>
      </c>
      <c r="I28" s="68">
        <v>1</v>
      </c>
      <c r="J28" s="66" t="s">
        <v>0</v>
      </c>
      <c r="K28" s="66" t="s">
        <v>0</v>
      </c>
      <c r="L28" s="66" t="s">
        <v>0</v>
      </c>
      <c r="M28" s="53">
        <f>(470*12)</f>
        <v>5640</v>
      </c>
      <c r="N28" s="53">
        <f>(480*12)</f>
        <v>5760</v>
      </c>
      <c r="O28" s="53">
        <f>500*12</f>
        <v>6000</v>
      </c>
      <c r="P28" s="77">
        <f>+F28+M28</f>
        <v>143880</v>
      </c>
      <c r="Q28" s="77">
        <f t="shared" si="2"/>
        <v>149640</v>
      </c>
      <c r="R28" s="77">
        <f t="shared" si="2"/>
        <v>155640</v>
      </c>
      <c r="S28" s="133" t="s">
        <v>274</v>
      </c>
    </row>
    <row r="29" spans="1:19" ht="21" customHeight="1">
      <c r="A29" s="64">
        <v>14</v>
      </c>
      <c r="B29" s="65" t="s">
        <v>28</v>
      </c>
      <c r="C29" s="66" t="s">
        <v>0</v>
      </c>
      <c r="D29" s="67">
        <v>6</v>
      </c>
      <c r="E29" s="67">
        <v>5</v>
      </c>
      <c r="F29" s="73" t="s">
        <v>0</v>
      </c>
      <c r="G29" s="68">
        <v>6</v>
      </c>
      <c r="H29" s="69">
        <v>6</v>
      </c>
      <c r="I29" s="68">
        <v>6</v>
      </c>
      <c r="J29" s="66" t="s">
        <v>0</v>
      </c>
      <c r="K29" s="66" t="s">
        <v>0</v>
      </c>
      <c r="L29" s="66" t="s">
        <v>0</v>
      </c>
      <c r="M29" s="74" t="s">
        <v>0</v>
      </c>
      <c r="N29" s="74" t="s">
        <v>0</v>
      </c>
      <c r="O29" s="74" t="s">
        <v>0</v>
      </c>
      <c r="P29" s="66" t="s">
        <v>0</v>
      </c>
      <c r="Q29" s="66" t="s">
        <v>0</v>
      </c>
      <c r="R29" s="66" t="s">
        <v>0</v>
      </c>
      <c r="S29" s="130" t="s">
        <v>72</v>
      </c>
    </row>
    <row r="30" spans="1:19" ht="21" customHeight="1">
      <c r="A30" s="64"/>
      <c r="B30" s="75" t="s">
        <v>79</v>
      </c>
      <c r="C30" s="66"/>
      <c r="D30" s="67"/>
      <c r="E30" s="67"/>
      <c r="F30" s="73"/>
      <c r="G30" s="68"/>
      <c r="H30" s="69"/>
      <c r="I30" s="68"/>
      <c r="J30" s="66"/>
      <c r="K30" s="66"/>
      <c r="L30" s="66"/>
      <c r="M30" s="74"/>
      <c r="N30" s="74"/>
      <c r="O30" s="74"/>
      <c r="P30" s="205"/>
      <c r="Q30" s="205"/>
      <c r="R30" s="205"/>
      <c r="S30" s="130"/>
    </row>
    <row r="31" spans="1:19" ht="21" customHeight="1">
      <c r="A31" s="64">
        <v>15</v>
      </c>
      <c r="B31" s="65" t="s">
        <v>29</v>
      </c>
      <c r="C31" s="66" t="s">
        <v>0</v>
      </c>
      <c r="D31" s="67">
        <v>1</v>
      </c>
      <c r="E31" s="67">
        <v>1</v>
      </c>
      <c r="F31" s="76">
        <f>(9000*6)+(9000*6)</f>
        <v>108000</v>
      </c>
      <c r="G31" s="68">
        <v>1</v>
      </c>
      <c r="H31" s="69">
        <v>1</v>
      </c>
      <c r="I31" s="68">
        <v>1</v>
      </c>
      <c r="J31" s="66" t="s">
        <v>0</v>
      </c>
      <c r="K31" s="66" t="s">
        <v>0</v>
      </c>
      <c r="L31" s="66" t="s">
        <v>0</v>
      </c>
      <c r="M31" s="74" t="s">
        <v>0</v>
      </c>
      <c r="N31" s="74" t="s">
        <v>0</v>
      </c>
      <c r="O31" s="74" t="s">
        <v>0</v>
      </c>
      <c r="P31" s="77">
        <f>$F$31</f>
        <v>108000</v>
      </c>
      <c r="Q31" s="77">
        <f>$F$31</f>
        <v>108000</v>
      </c>
      <c r="R31" s="77">
        <f>$F$31</f>
        <v>108000</v>
      </c>
      <c r="S31" s="133" t="s">
        <v>275</v>
      </c>
    </row>
    <row r="32" spans="1:19" ht="21" customHeight="1">
      <c r="A32" s="64">
        <v>16</v>
      </c>
      <c r="B32" s="65" t="s">
        <v>30</v>
      </c>
      <c r="C32" s="66" t="s">
        <v>0</v>
      </c>
      <c r="D32" s="67">
        <v>2</v>
      </c>
      <c r="E32" s="67">
        <v>2</v>
      </c>
      <c r="F32" s="76">
        <f>((9000*6)+(9000*6))*E32</f>
        <v>216000</v>
      </c>
      <c r="G32" s="68">
        <v>2</v>
      </c>
      <c r="H32" s="69">
        <v>2</v>
      </c>
      <c r="I32" s="68">
        <v>2</v>
      </c>
      <c r="J32" s="66" t="s">
        <v>0</v>
      </c>
      <c r="K32" s="66" t="s">
        <v>0</v>
      </c>
      <c r="L32" s="66" t="s">
        <v>0</v>
      </c>
      <c r="M32" s="74" t="s">
        <v>0</v>
      </c>
      <c r="N32" s="74" t="s">
        <v>0</v>
      </c>
      <c r="O32" s="74" t="s">
        <v>0</v>
      </c>
      <c r="P32" s="77">
        <f>$F$32</f>
        <v>216000</v>
      </c>
      <c r="Q32" s="77">
        <f>$F$32</f>
        <v>216000</v>
      </c>
      <c r="R32" s="77">
        <f>$F$32</f>
        <v>216000</v>
      </c>
      <c r="S32" s="133" t="s">
        <v>275</v>
      </c>
    </row>
    <row r="33" spans="1:19" ht="21" customHeight="1">
      <c r="A33" s="78"/>
      <c r="B33" s="79"/>
      <c r="C33" s="80"/>
      <c r="D33" s="81"/>
      <c r="E33" s="81"/>
      <c r="F33" s="82"/>
      <c r="G33" s="83"/>
      <c r="H33" s="84"/>
      <c r="I33" s="83"/>
      <c r="J33" s="80"/>
      <c r="K33" s="80"/>
      <c r="L33" s="80"/>
      <c r="M33" s="85"/>
      <c r="N33" s="86"/>
      <c r="O33" s="86"/>
      <c r="P33" s="87"/>
      <c r="Q33" s="87"/>
      <c r="R33" s="87"/>
      <c r="S33" s="136"/>
    </row>
    <row r="34" spans="1:19" ht="21" customHeight="1">
      <c r="A34" s="34"/>
      <c r="B34" s="88"/>
      <c r="C34" s="89"/>
      <c r="D34" s="89"/>
      <c r="E34" s="90"/>
      <c r="F34" s="91"/>
      <c r="G34" s="15"/>
      <c r="H34" s="15"/>
      <c r="I34" s="15"/>
      <c r="J34" s="89"/>
      <c r="K34" s="89"/>
      <c r="L34" s="89"/>
      <c r="M34" s="89"/>
      <c r="N34" s="91"/>
      <c r="O34" s="92"/>
      <c r="P34" s="15"/>
      <c r="Q34" s="15"/>
      <c r="R34" s="15"/>
      <c r="S34" s="137"/>
    </row>
    <row r="35" spans="1:19" ht="21" customHeight="1">
      <c r="A35" s="34"/>
      <c r="B35" s="88"/>
      <c r="C35" s="89"/>
      <c r="D35" s="89"/>
      <c r="E35" s="90"/>
      <c r="F35" s="91"/>
      <c r="G35" s="15"/>
      <c r="H35" s="15"/>
      <c r="I35" s="15"/>
      <c r="J35" s="89"/>
      <c r="K35" s="89"/>
      <c r="L35" s="89"/>
      <c r="M35" s="89"/>
      <c r="N35" s="91"/>
      <c r="O35" s="92"/>
      <c r="P35" s="15"/>
      <c r="Q35" s="15"/>
      <c r="R35" s="15"/>
      <c r="S35" s="137"/>
    </row>
    <row r="36" spans="1:19" ht="21" customHeight="1">
      <c r="A36" s="34"/>
      <c r="B36" s="88"/>
      <c r="C36" s="89"/>
      <c r="D36" s="89"/>
      <c r="E36" s="90"/>
      <c r="F36" s="91"/>
      <c r="G36" s="15"/>
      <c r="H36" s="15"/>
      <c r="I36" s="15"/>
      <c r="J36" s="89"/>
      <c r="K36" s="89"/>
      <c r="L36" s="89"/>
      <c r="M36" s="89"/>
      <c r="N36" s="91"/>
      <c r="O36" s="92"/>
      <c r="P36" s="15"/>
      <c r="Q36" s="15"/>
      <c r="R36" s="15"/>
      <c r="S36" s="137"/>
    </row>
    <row r="37" spans="1:19" ht="21" customHeight="1">
      <c r="A37" s="34"/>
      <c r="B37" s="88"/>
      <c r="C37" s="89"/>
      <c r="D37" s="89"/>
      <c r="E37" s="90"/>
      <c r="F37" s="91"/>
      <c r="G37" s="15"/>
      <c r="H37" s="15"/>
      <c r="I37" s="15"/>
      <c r="J37" s="89"/>
      <c r="K37" s="89"/>
      <c r="L37" s="89"/>
      <c r="M37" s="89"/>
      <c r="N37" s="91"/>
      <c r="O37" s="92"/>
      <c r="P37" s="15"/>
      <c r="Q37" s="15"/>
      <c r="R37" s="15"/>
      <c r="S37" s="137"/>
    </row>
    <row r="38" spans="1:19" ht="21" customHeight="1">
      <c r="A38" s="34"/>
      <c r="B38" s="88"/>
      <c r="C38" s="89"/>
      <c r="D38" s="89"/>
      <c r="E38" s="90"/>
      <c r="F38" s="91"/>
      <c r="G38" s="15"/>
      <c r="H38" s="15"/>
      <c r="I38" s="15"/>
      <c r="J38" s="89"/>
      <c r="K38" s="89"/>
      <c r="L38" s="89"/>
      <c r="M38" s="89"/>
      <c r="N38" s="91"/>
      <c r="O38" s="92"/>
      <c r="P38" s="15"/>
      <c r="Q38" s="15"/>
      <c r="R38" s="15"/>
      <c r="S38" s="137"/>
    </row>
    <row r="39" spans="1:19" ht="21" customHeight="1">
      <c r="A39" s="34"/>
      <c r="B39" s="88"/>
      <c r="C39" s="89"/>
      <c r="D39" s="89"/>
      <c r="E39" s="90"/>
      <c r="F39" s="91"/>
      <c r="G39" s="15"/>
      <c r="H39" s="15"/>
      <c r="I39" s="15"/>
      <c r="J39" s="89"/>
      <c r="K39" s="89"/>
      <c r="L39" s="89"/>
      <c r="M39" s="89"/>
      <c r="N39" s="91"/>
      <c r="O39" s="92"/>
      <c r="P39" s="15"/>
      <c r="Q39" s="15"/>
      <c r="R39" s="15"/>
      <c r="S39" s="137"/>
    </row>
    <row r="40" spans="1:19" ht="21" customHeight="1">
      <c r="A40" s="34"/>
      <c r="B40" s="88"/>
      <c r="C40" s="89"/>
      <c r="D40" s="89"/>
      <c r="E40" s="90"/>
      <c r="F40" s="91"/>
      <c r="G40" s="15"/>
      <c r="H40" s="15"/>
      <c r="I40" s="15"/>
      <c r="J40" s="89"/>
      <c r="K40" s="89"/>
      <c r="L40" s="89"/>
      <c r="M40" s="89"/>
      <c r="N40" s="91"/>
      <c r="O40" s="92"/>
      <c r="P40" s="15"/>
      <c r="Q40" s="15"/>
      <c r="R40" s="15"/>
      <c r="S40" s="137"/>
    </row>
    <row r="41" spans="1:19" ht="21" customHeight="1">
      <c r="A41" s="34"/>
      <c r="B41" s="88"/>
      <c r="C41" s="89"/>
      <c r="D41" s="89"/>
      <c r="E41" s="90"/>
      <c r="F41" s="91"/>
      <c r="G41" s="15"/>
      <c r="H41" s="15"/>
      <c r="I41" s="15"/>
      <c r="J41" s="89"/>
      <c r="K41" s="89"/>
      <c r="L41" s="89"/>
      <c r="M41" s="89"/>
      <c r="N41" s="91"/>
      <c r="O41" s="92"/>
      <c r="P41" s="15"/>
      <c r="Q41" s="15"/>
      <c r="R41" s="15"/>
      <c r="S41" s="137"/>
    </row>
    <row r="42" spans="1:19" ht="21" customHeight="1">
      <c r="A42" s="34"/>
      <c r="B42" s="88"/>
      <c r="C42" s="89"/>
      <c r="D42" s="89"/>
      <c r="E42" s="90"/>
      <c r="F42" s="91"/>
      <c r="G42" s="15"/>
      <c r="H42" s="15"/>
      <c r="I42" s="15"/>
      <c r="J42" s="89"/>
      <c r="K42" s="89"/>
      <c r="L42" s="89"/>
      <c r="M42" s="89"/>
      <c r="N42" s="91"/>
      <c r="O42" s="92"/>
      <c r="P42" s="15"/>
      <c r="Q42" s="15"/>
      <c r="R42" s="15"/>
      <c r="S42" s="137"/>
    </row>
    <row r="43" spans="1:19" ht="21" customHeight="1">
      <c r="A43" s="34"/>
      <c r="B43" s="88"/>
      <c r="C43" s="89"/>
      <c r="D43" s="89"/>
      <c r="E43" s="90"/>
      <c r="F43" s="91"/>
      <c r="G43" s="15"/>
      <c r="H43" s="15"/>
      <c r="I43" s="15" t="s">
        <v>70</v>
      </c>
      <c r="J43" s="89"/>
      <c r="K43" s="89"/>
      <c r="L43" s="89"/>
      <c r="M43" s="89"/>
      <c r="N43" s="34"/>
      <c r="O43" s="89"/>
      <c r="P43" s="89"/>
      <c r="Q43" s="90"/>
      <c r="R43" s="15"/>
      <c r="S43" s="137"/>
    </row>
    <row r="44" spans="1:19" ht="2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37"/>
    </row>
    <row r="45" spans="1:19" ht="21" customHeight="1">
      <c r="A45" s="325" t="s">
        <v>3</v>
      </c>
      <c r="B45" s="325" t="s">
        <v>4</v>
      </c>
      <c r="C45" s="10"/>
      <c r="D45" s="9" t="s">
        <v>51</v>
      </c>
      <c r="E45" s="329" t="s">
        <v>49</v>
      </c>
      <c r="F45" s="330"/>
      <c r="G45" s="329" t="s">
        <v>1</v>
      </c>
      <c r="H45" s="331"/>
      <c r="I45" s="330"/>
      <c r="J45" s="309" t="s">
        <v>5</v>
      </c>
      <c r="K45" s="310"/>
      <c r="L45" s="311"/>
      <c r="M45" s="312" t="s">
        <v>6</v>
      </c>
      <c r="N45" s="313"/>
      <c r="O45" s="314"/>
      <c r="P45" s="315" t="s">
        <v>7</v>
      </c>
      <c r="Q45" s="315"/>
      <c r="R45" s="315"/>
      <c r="S45" s="138"/>
    </row>
    <row r="46" spans="1:19" ht="21" customHeight="1">
      <c r="A46" s="326"/>
      <c r="B46" s="328"/>
      <c r="C46" s="13" t="s">
        <v>8</v>
      </c>
      <c r="D46" s="13" t="s">
        <v>52</v>
      </c>
      <c r="E46" s="316" t="s">
        <v>50</v>
      </c>
      <c r="F46" s="317"/>
      <c r="G46" s="316" t="s">
        <v>2</v>
      </c>
      <c r="H46" s="318"/>
      <c r="I46" s="317"/>
      <c r="J46" s="319" t="s">
        <v>10</v>
      </c>
      <c r="K46" s="320"/>
      <c r="L46" s="321"/>
      <c r="M46" s="322" t="s">
        <v>11</v>
      </c>
      <c r="N46" s="323"/>
      <c r="O46" s="324"/>
      <c r="P46" s="14"/>
      <c r="Q46" s="15"/>
      <c r="R46" s="16"/>
      <c r="S46" s="139" t="s">
        <v>71</v>
      </c>
    </row>
    <row r="47" spans="1:19" ht="21" customHeight="1">
      <c r="A47" s="326"/>
      <c r="B47" s="326"/>
      <c r="C47" s="13" t="s">
        <v>12</v>
      </c>
      <c r="D47" s="13" t="s">
        <v>53</v>
      </c>
      <c r="E47" s="18"/>
      <c r="F47" s="19"/>
      <c r="G47" s="332" t="s">
        <v>13</v>
      </c>
      <c r="H47" s="333"/>
      <c r="I47" s="334"/>
      <c r="J47" s="22"/>
      <c r="K47" s="23"/>
      <c r="L47" s="24"/>
      <c r="M47" s="25"/>
      <c r="N47" s="26"/>
      <c r="O47" s="93"/>
      <c r="P47" s="27"/>
      <c r="Q47" s="28"/>
      <c r="R47" s="29"/>
      <c r="S47" s="140"/>
    </row>
    <row r="48" spans="1:22" s="2" customFormat="1" ht="21" customHeight="1">
      <c r="A48" s="326"/>
      <c r="B48" s="326"/>
      <c r="C48" s="31"/>
      <c r="D48" s="13" t="s">
        <v>54</v>
      </c>
      <c r="E48" s="11" t="s">
        <v>9</v>
      </c>
      <c r="F48" s="32" t="s">
        <v>14</v>
      </c>
      <c r="G48" s="32">
        <v>2561</v>
      </c>
      <c r="H48" s="32">
        <v>2562</v>
      </c>
      <c r="I48" s="11">
        <v>2563</v>
      </c>
      <c r="J48" s="32">
        <v>2561</v>
      </c>
      <c r="K48" s="32">
        <v>2562</v>
      </c>
      <c r="L48" s="11">
        <v>2563</v>
      </c>
      <c r="M48" s="32">
        <v>2561</v>
      </c>
      <c r="N48" s="32">
        <v>2562</v>
      </c>
      <c r="O48" s="11">
        <v>2563</v>
      </c>
      <c r="P48" s="32">
        <v>2561</v>
      </c>
      <c r="Q48" s="32">
        <v>2562</v>
      </c>
      <c r="R48" s="11">
        <v>2563</v>
      </c>
      <c r="S48" s="50"/>
      <c r="T48" s="34"/>
      <c r="U48" s="34"/>
      <c r="V48" s="34"/>
    </row>
    <row r="49" spans="1:22" s="2" customFormat="1" ht="21" customHeight="1">
      <c r="A49" s="327"/>
      <c r="B49" s="327"/>
      <c r="C49" s="35"/>
      <c r="D49" s="35"/>
      <c r="E49" s="36" t="s">
        <v>15</v>
      </c>
      <c r="F49" s="37" t="s">
        <v>16</v>
      </c>
      <c r="G49" s="37"/>
      <c r="H49" s="38"/>
      <c r="I49" s="39"/>
      <c r="J49" s="36"/>
      <c r="K49" s="21"/>
      <c r="L49" s="36"/>
      <c r="M49" s="21"/>
      <c r="N49" s="36"/>
      <c r="O49" s="21"/>
      <c r="P49" s="36"/>
      <c r="Q49" s="36"/>
      <c r="R49" s="20"/>
      <c r="S49" s="37"/>
      <c r="T49" s="34"/>
      <c r="U49" s="34"/>
      <c r="V49" s="34"/>
    </row>
    <row r="50" spans="1:19" ht="21" customHeight="1">
      <c r="A50" s="56"/>
      <c r="B50" s="57" t="s">
        <v>76</v>
      </c>
      <c r="C50" s="66"/>
      <c r="D50" s="66"/>
      <c r="E50" s="94"/>
      <c r="F50" s="73"/>
      <c r="G50" s="68"/>
      <c r="H50" s="69"/>
      <c r="I50" s="68"/>
      <c r="J50" s="66"/>
      <c r="K50" s="66"/>
      <c r="L50" s="66"/>
      <c r="M50" s="66"/>
      <c r="N50" s="74"/>
      <c r="O50" s="95"/>
      <c r="P50" s="96"/>
      <c r="Q50" s="96"/>
      <c r="R50" s="96"/>
      <c r="S50" s="141"/>
    </row>
    <row r="51" spans="1:19" ht="21" customHeight="1">
      <c r="A51" s="64">
        <v>17</v>
      </c>
      <c r="B51" s="65" t="s">
        <v>31</v>
      </c>
      <c r="C51" s="66" t="s">
        <v>19</v>
      </c>
      <c r="D51" s="67">
        <v>1</v>
      </c>
      <c r="E51" s="67">
        <v>1</v>
      </c>
      <c r="F51" s="55">
        <f>(28560*12)+(3500*12)</f>
        <v>384720</v>
      </c>
      <c r="G51" s="68">
        <v>1</v>
      </c>
      <c r="H51" s="69">
        <v>1</v>
      </c>
      <c r="I51" s="68">
        <v>1</v>
      </c>
      <c r="J51" s="66" t="s">
        <v>0</v>
      </c>
      <c r="K51" s="66" t="s">
        <v>0</v>
      </c>
      <c r="L51" s="66" t="s">
        <v>0</v>
      </c>
      <c r="M51" s="53">
        <f>(29680-28560)*12</f>
        <v>13440</v>
      </c>
      <c r="N51" s="53">
        <f>(30790-29680)*12</f>
        <v>13320</v>
      </c>
      <c r="O51" s="53">
        <f>(31880-30790)*12</f>
        <v>13080</v>
      </c>
      <c r="P51" s="70">
        <f>+F51+M51</f>
        <v>398160</v>
      </c>
      <c r="Q51" s="55">
        <f aca="true" t="shared" si="3" ref="Q51:R53">+N51+P51</f>
        <v>411480</v>
      </c>
      <c r="R51" s="55">
        <f t="shared" si="3"/>
        <v>424560</v>
      </c>
      <c r="S51" s="133" t="s">
        <v>279</v>
      </c>
    </row>
    <row r="52" spans="1:19" ht="21" customHeight="1">
      <c r="A52" s="64">
        <v>18</v>
      </c>
      <c r="B52" s="65" t="s">
        <v>32</v>
      </c>
      <c r="C52" s="66" t="s">
        <v>40</v>
      </c>
      <c r="D52" s="67">
        <v>1</v>
      </c>
      <c r="E52" s="67" t="s">
        <v>0</v>
      </c>
      <c r="F52" s="55">
        <f>((8750+40900)/2)*12</f>
        <v>297900</v>
      </c>
      <c r="G52" s="68">
        <v>1</v>
      </c>
      <c r="H52" s="69">
        <v>1</v>
      </c>
      <c r="I52" s="68">
        <v>1</v>
      </c>
      <c r="J52" s="66" t="s">
        <v>0</v>
      </c>
      <c r="K52" s="66" t="s">
        <v>0</v>
      </c>
      <c r="L52" s="66" t="s">
        <v>0</v>
      </c>
      <c r="M52" s="53">
        <f aca="true" t="shared" si="4" ref="M52:O53">(((9090-8750)+(40900-39620))/2)*12</f>
        <v>9720</v>
      </c>
      <c r="N52" s="53">
        <f t="shared" si="4"/>
        <v>9720</v>
      </c>
      <c r="O52" s="53">
        <f t="shared" si="4"/>
        <v>9720</v>
      </c>
      <c r="P52" s="70">
        <f>+F52+M52</f>
        <v>307620</v>
      </c>
      <c r="Q52" s="55">
        <f t="shared" si="3"/>
        <v>317340</v>
      </c>
      <c r="R52" s="55">
        <f t="shared" si="3"/>
        <v>327060</v>
      </c>
      <c r="S52" s="135" t="s">
        <v>73</v>
      </c>
    </row>
    <row r="53" spans="1:19" ht="21" customHeight="1">
      <c r="A53" s="64">
        <v>19</v>
      </c>
      <c r="B53" s="65" t="s">
        <v>33</v>
      </c>
      <c r="C53" s="66" t="s">
        <v>40</v>
      </c>
      <c r="D53" s="67">
        <v>1</v>
      </c>
      <c r="E53" s="67" t="s">
        <v>0</v>
      </c>
      <c r="F53" s="55">
        <f>((8750+40900)/2)*12</f>
        <v>297900</v>
      </c>
      <c r="G53" s="68">
        <v>1</v>
      </c>
      <c r="H53" s="69">
        <v>1</v>
      </c>
      <c r="I53" s="68">
        <v>1</v>
      </c>
      <c r="J53" s="66" t="s">
        <v>0</v>
      </c>
      <c r="K53" s="66" t="s">
        <v>0</v>
      </c>
      <c r="L53" s="66" t="s">
        <v>0</v>
      </c>
      <c r="M53" s="53">
        <f t="shared" si="4"/>
        <v>9720</v>
      </c>
      <c r="N53" s="53">
        <f t="shared" si="4"/>
        <v>9720</v>
      </c>
      <c r="O53" s="53">
        <f t="shared" si="4"/>
        <v>9720</v>
      </c>
      <c r="P53" s="70">
        <f>+F53+M53</f>
        <v>307620</v>
      </c>
      <c r="Q53" s="55">
        <f t="shared" si="3"/>
        <v>317340</v>
      </c>
      <c r="R53" s="55">
        <f t="shared" si="3"/>
        <v>327060</v>
      </c>
      <c r="S53" s="135" t="s">
        <v>73</v>
      </c>
    </row>
    <row r="54" spans="1:19" ht="21" customHeight="1">
      <c r="A54" s="64">
        <v>20</v>
      </c>
      <c r="B54" s="65" t="s">
        <v>34</v>
      </c>
      <c r="C54" s="66" t="s">
        <v>69</v>
      </c>
      <c r="D54" s="67">
        <v>1</v>
      </c>
      <c r="E54" s="67">
        <v>1</v>
      </c>
      <c r="F54" s="55">
        <f>17690*12</f>
        <v>212280</v>
      </c>
      <c r="G54" s="68">
        <v>1</v>
      </c>
      <c r="H54" s="69">
        <v>1</v>
      </c>
      <c r="I54" s="68">
        <v>1</v>
      </c>
      <c r="J54" s="66" t="s">
        <v>0</v>
      </c>
      <c r="K54" s="66" t="s">
        <v>0</v>
      </c>
      <c r="L54" s="66" t="s">
        <v>0</v>
      </c>
      <c r="M54" s="53">
        <f>(18440-17690)*12</f>
        <v>9000</v>
      </c>
      <c r="N54" s="53">
        <f>(19200-18440)*12</f>
        <v>9120</v>
      </c>
      <c r="O54" s="53">
        <f>(19970-19200)*12</f>
        <v>9240</v>
      </c>
      <c r="P54" s="53">
        <f>+F54+M54</f>
        <v>221280</v>
      </c>
      <c r="Q54" s="53">
        <f>+P54+N54</f>
        <v>230400</v>
      </c>
      <c r="R54" s="53">
        <f>+Q54+O54</f>
        <v>239640</v>
      </c>
      <c r="S54" s="133" t="s">
        <v>280</v>
      </c>
    </row>
    <row r="55" spans="1:19" ht="21" customHeight="1">
      <c r="A55" s="64">
        <v>21</v>
      </c>
      <c r="B55" s="65" t="s">
        <v>23</v>
      </c>
      <c r="C55" s="66" t="s">
        <v>40</v>
      </c>
      <c r="D55" s="67">
        <v>1</v>
      </c>
      <c r="E55" s="67" t="s">
        <v>0</v>
      </c>
      <c r="F55" s="55">
        <f>((8750+40900)/2)*12</f>
        <v>297900</v>
      </c>
      <c r="G55" s="68">
        <v>1</v>
      </c>
      <c r="H55" s="69">
        <v>1</v>
      </c>
      <c r="I55" s="68">
        <v>1</v>
      </c>
      <c r="J55" s="66" t="s">
        <v>0</v>
      </c>
      <c r="K55" s="66" t="s">
        <v>0</v>
      </c>
      <c r="L55" s="66" t="s">
        <v>0</v>
      </c>
      <c r="M55" s="53">
        <f>(((9090-8750)+(40900-39620))/2)*12</f>
        <v>9720</v>
      </c>
      <c r="N55" s="53">
        <f>(((9090-8750)+(40900-39620))/2)*12</f>
        <v>9720</v>
      </c>
      <c r="O55" s="53">
        <f>(((9090-8750)+(40900-39620))/2)*12</f>
        <v>9720</v>
      </c>
      <c r="P55" s="70">
        <f>+F55+M55</f>
        <v>307620</v>
      </c>
      <c r="Q55" s="55">
        <f>+N55+P55</f>
        <v>317340</v>
      </c>
      <c r="R55" s="55">
        <f>+O55+Q55</f>
        <v>327060</v>
      </c>
      <c r="S55" s="135" t="s">
        <v>73</v>
      </c>
    </row>
    <row r="56" spans="1:19" ht="21" customHeight="1">
      <c r="A56" s="64"/>
      <c r="B56" s="98" t="s">
        <v>77</v>
      </c>
      <c r="C56" s="66"/>
      <c r="D56" s="67"/>
      <c r="E56" s="67"/>
      <c r="F56" s="55"/>
      <c r="G56" s="68"/>
      <c r="H56" s="69"/>
      <c r="I56" s="68"/>
      <c r="J56" s="66"/>
      <c r="K56" s="66"/>
      <c r="L56" s="66"/>
      <c r="M56" s="97"/>
      <c r="N56" s="53"/>
      <c r="O56" s="71"/>
      <c r="P56" s="77"/>
      <c r="Q56" s="77"/>
      <c r="R56" s="77"/>
      <c r="S56" s="66"/>
    </row>
    <row r="57" spans="1:19" ht="21" customHeight="1">
      <c r="A57" s="64">
        <v>22</v>
      </c>
      <c r="B57" s="65" t="s">
        <v>36</v>
      </c>
      <c r="C57" s="66" t="s">
        <v>0</v>
      </c>
      <c r="D57" s="67">
        <v>1</v>
      </c>
      <c r="E57" s="67">
        <v>1</v>
      </c>
      <c r="F57" s="55">
        <f>(14660*12)</f>
        <v>175920</v>
      </c>
      <c r="G57" s="68">
        <v>1</v>
      </c>
      <c r="H57" s="69">
        <v>1</v>
      </c>
      <c r="I57" s="68">
        <v>1</v>
      </c>
      <c r="J57" s="66" t="s">
        <v>0</v>
      </c>
      <c r="K57" s="66" t="s">
        <v>0</v>
      </c>
      <c r="L57" s="66" t="s">
        <v>0</v>
      </c>
      <c r="M57" s="53">
        <f>(590*12)</f>
        <v>7080</v>
      </c>
      <c r="N57" s="53">
        <f>(610*12)</f>
        <v>7320</v>
      </c>
      <c r="O57" s="53">
        <f>640*12</f>
        <v>7680</v>
      </c>
      <c r="P57" s="77">
        <f>+F57+M57</f>
        <v>183000</v>
      </c>
      <c r="Q57" s="77">
        <f>+P57+N57</f>
        <v>190320</v>
      </c>
      <c r="R57" s="77">
        <f>+Q57+O57</f>
        <v>198000</v>
      </c>
      <c r="S57" s="133" t="s">
        <v>281</v>
      </c>
    </row>
    <row r="58" spans="1:19" ht="21" customHeight="1">
      <c r="A58" s="64">
        <v>23</v>
      </c>
      <c r="B58" s="65" t="s">
        <v>37</v>
      </c>
      <c r="C58" s="66" t="s">
        <v>0</v>
      </c>
      <c r="D58" s="67">
        <v>1</v>
      </c>
      <c r="E58" s="67">
        <v>1</v>
      </c>
      <c r="F58" s="55">
        <f>(12940*12)</f>
        <v>155280</v>
      </c>
      <c r="G58" s="68">
        <v>1</v>
      </c>
      <c r="H58" s="69">
        <v>1</v>
      </c>
      <c r="I58" s="68">
        <v>1</v>
      </c>
      <c r="J58" s="66" t="s">
        <v>0</v>
      </c>
      <c r="K58" s="66" t="s">
        <v>0</v>
      </c>
      <c r="L58" s="66" t="s">
        <v>0</v>
      </c>
      <c r="M58" s="53">
        <f>(520*12)</f>
        <v>6240</v>
      </c>
      <c r="N58" s="53">
        <f>(540*12)</f>
        <v>6480</v>
      </c>
      <c r="O58" s="53">
        <f>560*12</f>
        <v>6720</v>
      </c>
      <c r="P58" s="77">
        <f>+F58+M58</f>
        <v>161520</v>
      </c>
      <c r="Q58" s="77">
        <f>+P58+N58</f>
        <v>168000</v>
      </c>
      <c r="R58" s="77">
        <f>+Q58+O58</f>
        <v>174720</v>
      </c>
      <c r="S58" s="133" t="s">
        <v>282</v>
      </c>
    </row>
    <row r="59" spans="1:19" ht="21" customHeight="1">
      <c r="A59" s="56"/>
      <c r="B59" s="57" t="s">
        <v>78</v>
      </c>
      <c r="C59" s="58"/>
      <c r="D59" s="67"/>
      <c r="E59" s="67"/>
      <c r="F59" s="55"/>
      <c r="G59" s="68"/>
      <c r="H59" s="69"/>
      <c r="I59" s="68"/>
      <c r="J59" s="66"/>
      <c r="K59" s="66"/>
      <c r="L59" s="66"/>
      <c r="M59" s="97"/>
      <c r="N59" s="53"/>
      <c r="O59" s="71"/>
      <c r="P59" s="77"/>
      <c r="Q59" s="77"/>
      <c r="R59" s="77"/>
      <c r="S59" s="66"/>
    </row>
    <row r="60" spans="1:19" ht="21" customHeight="1">
      <c r="A60" s="64">
        <v>24</v>
      </c>
      <c r="B60" s="65" t="s">
        <v>38</v>
      </c>
      <c r="C60" s="66" t="s">
        <v>19</v>
      </c>
      <c r="D60" s="67">
        <v>1</v>
      </c>
      <c r="E60" s="67" t="s">
        <v>0</v>
      </c>
      <c r="F60" s="55">
        <f>((15430+50170)/2*12)+(3500*12)</f>
        <v>435600</v>
      </c>
      <c r="G60" s="68">
        <v>1</v>
      </c>
      <c r="H60" s="69">
        <v>1</v>
      </c>
      <c r="I60" s="68">
        <v>1</v>
      </c>
      <c r="J60" s="66" t="s">
        <v>0</v>
      </c>
      <c r="K60" s="66" t="s">
        <v>0</v>
      </c>
      <c r="L60" s="66" t="s">
        <v>0</v>
      </c>
      <c r="M60" s="55">
        <f>(((16270-15430)+(50170-48740))/2)*12</f>
        <v>13620</v>
      </c>
      <c r="N60" s="55">
        <f>(((16270-15430)+(50170-48740))/2)*12</f>
        <v>13620</v>
      </c>
      <c r="O60" s="55">
        <f>(((16270-15430)+(50170-48740))/2)*12</f>
        <v>13620</v>
      </c>
      <c r="P60" s="72">
        <f>+F60+M60</f>
        <v>449220</v>
      </c>
      <c r="Q60" s="55">
        <f>+P60+N60</f>
        <v>462840</v>
      </c>
      <c r="R60" s="55">
        <f>+Q60+O60</f>
        <v>476460</v>
      </c>
      <c r="S60" s="133" t="s">
        <v>73</v>
      </c>
    </row>
    <row r="61" spans="1:19" ht="21" customHeight="1">
      <c r="A61" s="64">
        <v>25</v>
      </c>
      <c r="B61" s="65" t="s">
        <v>39</v>
      </c>
      <c r="C61" s="66" t="s">
        <v>69</v>
      </c>
      <c r="D61" s="67">
        <v>1</v>
      </c>
      <c r="E61" s="67">
        <v>1</v>
      </c>
      <c r="F61" s="55">
        <f>(21620*12)</f>
        <v>259440</v>
      </c>
      <c r="G61" s="68">
        <v>1</v>
      </c>
      <c r="H61" s="69">
        <v>1</v>
      </c>
      <c r="I61" s="68">
        <v>1</v>
      </c>
      <c r="J61" s="66" t="s">
        <v>0</v>
      </c>
      <c r="K61" s="66" t="s">
        <v>0</v>
      </c>
      <c r="L61" s="66" t="s">
        <v>0</v>
      </c>
      <c r="M61" s="53">
        <f>(22490-21620)*12</f>
        <v>10440</v>
      </c>
      <c r="N61" s="53">
        <f>(23370-22490)*12</f>
        <v>10560</v>
      </c>
      <c r="O61" s="53">
        <f>(24270-23370)*12</f>
        <v>10800</v>
      </c>
      <c r="P61" s="53">
        <f>+F61+M61</f>
        <v>269880</v>
      </c>
      <c r="Q61" s="53">
        <f>+P61+N61</f>
        <v>280440</v>
      </c>
      <c r="R61" s="53">
        <f>+Q61+O61</f>
        <v>291240</v>
      </c>
      <c r="S61" s="133" t="s">
        <v>283</v>
      </c>
    </row>
    <row r="62" spans="1:19" ht="21" customHeight="1">
      <c r="A62" s="64">
        <v>26</v>
      </c>
      <c r="B62" s="65" t="s">
        <v>39</v>
      </c>
      <c r="C62" s="66" t="s">
        <v>40</v>
      </c>
      <c r="D62" s="67">
        <v>1</v>
      </c>
      <c r="E62" s="67" t="s">
        <v>0</v>
      </c>
      <c r="F62" s="55">
        <f>((8750+40900)/2)*12</f>
        <v>297900</v>
      </c>
      <c r="G62" s="68">
        <v>1</v>
      </c>
      <c r="H62" s="69">
        <v>1</v>
      </c>
      <c r="I62" s="68">
        <v>1</v>
      </c>
      <c r="J62" s="66" t="s">
        <v>0</v>
      </c>
      <c r="K62" s="66" t="s">
        <v>0</v>
      </c>
      <c r="L62" s="66" t="s">
        <v>0</v>
      </c>
      <c r="M62" s="53">
        <f>(((9090-8750)+(40900-39620))/2)*12</f>
        <v>9720</v>
      </c>
      <c r="N62" s="53">
        <f>(((9090-8750)+(40900-39620))/2)*12</f>
        <v>9720</v>
      </c>
      <c r="O62" s="53">
        <f>(((9090-8750)+(40900-39620))/2)*12</f>
        <v>9720</v>
      </c>
      <c r="P62" s="70">
        <f>+F62+M62</f>
        <v>307620</v>
      </c>
      <c r="Q62" s="55">
        <f>+N62+P62</f>
        <v>317340</v>
      </c>
      <c r="R62" s="55">
        <f>+O62+Q62</f>
        <v>327060</v>
      </c>
      <c r="S62" s="135" t="s">
        <v>73</v>
      </c>
    </row>
    <row r="63" spans="1:19" ht="21" customHeight="1">
      <c r="A63" s="64"/>
      <c r="B63" s="98" t="s">
        <v>77</v>
      </c>
      <c r="C63" s="66"/>
      <c r="D63" s="67"/>
      <c r="E63" s="67"/>
      <c r="F63" s="73"/>
      <c r="G63" s="68"/>
      <c r="H63" s="69"/>
      <c r="I63" s="68"/>
      <c r="J63" s="66"/>
      <c r="K63" s="66"/>
      <c r="L63" s="66"/>
      <c r="M63" s="53"/>
      <c r="N63" s="53"/>
      <c r="O63" s="71"/>
      <c r="P63" s="77"/>
      <c r="Q63" s="77"/>
      <c r="R63" s="77"/>
      <c r="S63" s="66"/>
    </row>
    <row r="64" spans="1:19" ht="21" customHeight="1">
      <c r="A64" s="64">
        <v>27</v>
      </c>
      <c r="B64" s="65" t="s">
        <v>41</v>
      </c>
      <c r="C64" s="66" t="s">
        <v>0</v>
      </c>
      <c r="D64" s="67">
        <v>1</v>
      </c>
      <c r="E64" s="67" t="s">
        <v>0</v>
      </c>
      <c r="F64" s="55">
        <f>(11500*12)</f>
        <v>138000</v>
      </c>
      <c r="G64" s="68">
        <v>1</v>
      </c>
      <c r="H64" s="69">
        <v>1</v>
      </c>
      <c r="I64" s="68">
        <v>1</v>
      </c>
      <c r="J64" s="66" t="s">
        <v>0</v>
      </c>
      <c r="K64" s="66" t="s">
        <v>0</v>
      </c>
      <c r="L64" s="66" t="s">
        <v>0</v>
      </c>
      <c r="M64" s="53">
        <v>0</v>
      </c>
      <c r="N64" s="53">
        <f>(460*12)</f>
        <v>5520</v>
      </c>
      <c r="O64" s="53">
        <f>(480*12)</f>
        <v>5760</v>
      </c>
      <c r="P64" s="53">
        <f>+F64+M64</f>
        <v>138000</v>
      </c>
      <c r="Q64" s="53">
        <f aca="true" t="shared" si="5" ref="Q64:R66">+P64+N64</f>
        <v>143520</v>
      </c>
      <c r="R64" s="53">
        <f t="shared" si="5"/>
        <v>149280</v>
      </c>
      <c r="S64" s="133" t="s">
        <v>284</v>
      </c>
    </row>
    <row r="65" spans="1:19" ht="21" customHeight="1">
      <c r="A65" s="64">
        <v>28</v>
      </c>
      <c r="B65" s="65" t="s">
        <v>235</v>
      </c>
      <c r="C65" s="66" t="s">
        <v>0</v>
      </c>
      <c r="D65" s="67">
        <v>1</v>
      </c>
      <c r="E65" s="67">
        <v>1</v>
      </c>
      <c r="F65" s="55">
        <f>(11140*12)</f>
        <v>133680</v>
      </c>
      <c r="G65" s="68">
        <v>1</v>
      </c>
      <c r="H65" s="69">
        <v>1</v>
      </c>
      <c r="I65" s="68">
        <v>1</v>
      </c>
      <c r="J65" s="66" t="s">
        <v>0</v>
      </c>
      <c r="K65" s="66" t="s">
        <v>0</v>
      </c>
      <c r="L65" s="66" t="s">
        <v>0</v>
      </c>
      <c r="M65" s="53">
        <f>(450*12)</f>
        <v>5400</v>
      </c>
      <c r="N65" s="53">
        <f>(470*12)</f>
        <v>5640</v>
      </c>
      <c r="O65" s="53">
        <f>(490*12)</f>
        <v>5880</v>
      </c>
      <c r="P65" s="77">
        <f>+F65+M65</f>
        <v>139080</v>
      </c>
      <c r="Q65" s="77">
        <f t="shared" si="5"/>
        <v>144720</v>
      </c>
      <c r="R65" s="77">
        <f t="shared" si="5"/>
        <v>150600</v>
      </c>
      <c r="S65" s="133" t="s">
        <v>285</v>
      </c>
    </row>
    <row r="66" spans="1:19" ht="21" customHeight="1">
      <c r="A66" s="64">
        <v>29</v>
      </c>
      <c r="B66" s="65" t="s">
        <v>37</v>
      </c>
      <c r="C66" s="66" t="s">
        <v>0</v>
      </c>
      <c r="D66" s="67">
        <v>1</v>
      </c>
      <c r="E66" s="67">
        <v>1</v>
      </c>
      <c r="F66" s="55">
        <f>(12940*12)</f>
        <v>155280</v>
      </c>
      <c r="G66" s="68">
        <v>1</v>
      </c>
      <c r="H66" s="69">
        <v>1</v>
      </c>
      <c r="I66" s="68">
        <v>1</v>
      </c>
      <c r="J66" s="66" t="s">
        <v>0</v>
      </c>
      <c r="K66" s="66" t="s">
        <v>0</v>
      </c>
      <c r="L66" s="66" t="s">
        <v>0</v>
      </c>
      <c r="M66" s="53">
        <f>(520*12)</f>
        <v>6240</v>
      </c>
      <c r="N66" s="53">
        <f>(540*12)</f>
        <v>6480</v>
      </c>
      <c r="O66" s="53">
        <f>560*12</f>
        <v>6720</v>
      </c>
      <c r="P66" s="77">
        <f>+F66+M66</f>
        <v>161520</v>
      </c>
      <c r="Q66" s="77">
        <f t="shared" si="5"/>
        <v>168000</v>
      </c>
      <c r="R66" s="77">
        <f t="shared" si="5"/>
        <v>174720</v>
      </c>
      <c r="S66" s="133" t="s">
        <v>282</v>
      </c>
    </row>
    <row r="67" spans="1:19" ht="21" customHeight="1">
      <c r="A67" s="64"/>
      <c r="B67" s="98" t="s">
        <v>79</v>
      </c>
      <c r="C67" s="66"/>
      <c r="D67" s="67"/>
      <c r="E67" s="67"/>
      <c r="F67" s="55"/>
      <c r="G67" s="68"/>
      <c r="H67" s="69"/>
      <c r="I67" s="68"/>
      <c r="J67" s="66"/>
      <c r="K67" s="66"/>
      <c r="L67" s="66"/>
      <c r="M67" s="53"/>
      <c r="N67" s="55"/>
      <c r="O67" s="55"/>
      <c r="P67" s="99"/>
      <c r="Q67" s="99"/>
      <c r="R67" s="99"/>
      <c r="S67" s="66"/>
    </row>
    <row r="68" spans="1:19" ht="21" customHeight="1">
      <c r="A68" s="64">
        <v>30</v>
      </c>
      <c r="B68" s="65" t="s">
        <v>30</v>
      </c>
      <c r="C68" s="66" t="s">
        <v>0</v>
      </c>
      <c r="D68" s="67">
        <v>2</v>
      </c>
      <c r="E68" s="67">
        <v>2</v>
      </c>
      <c r="F68" s="76">
        <f>((9000*6)+(9000*6))*E68</f>
        <v>216000</v>
      </c>
      <c r="G68" s="68">
        <v>2</v>
      </c>
      <c r="H68" s="69">
        <v>2</v>
      </c>
      <c r="I68" s="68">
        <v>2</v>
      </c>
      <c r="J68" s="66" t="s">
        <v>0</v>
      </c>
      <c r="K68" s="66" t="s">
        <v>0</v>
      </c>
      <c r="L68" s="66" t="s">
        <v>0</v>
      </c>
      <c r="M68" s="74" t="s">
        <v>0</v>
      </c>
      <c r="N68" s="74" t="s">
        <v>0</v>
      </c>
      <c r="O68" s="74" t="s">
        <v>0</v>
      </c>
      <c r="P68" s="77">
        <f>$F$32</f>
        <v>216000</v>
      </c>
      <c r="Q68" s="77">
        <f>$F$32</f>
        <v>216000</v>
      </c>
      <c r="R68" s="77">
        <f>$F$32</f>
        <v>216000</v>
      </c>
      <c r="S68" s="133" t="s">
        <v>275</v>
      </c>
    </row>
    <row r="69" spans="1:19" ht="21" customHeight="1">
      <c r="A69" s="78"/>
      <c r="B69" s="79"/>
      <c r="C69" s="80"/>
      <c r="D69" s="81"/>
      <c r="E69" s="81"/>
      <c r="F69" s="100"/>
      <c r="G69" s="83"/>
      <c r="H69" s="84"/>
      <c r="I69" s="83"/>
      <c r="J69" s="80"/>
      <c r="K69" s="80"/>
      <c r="L69" s="80"/>
      <c r="M69" s="85"/>
      <c r="N69" s="100"/>
      <c r="O69" s="100"/>
      <c r="P69" s="101"/>
      <c r="Q69" s="101"/>
      <c r="R69" s="101"/>
      <c r="S69" s="66"/>
    </row>
    <row r="70" spans="1:22" s="108" customFormat="1" ht="21" customHeight="1">
      <c r="A70" s="102" t="s">
        <v>59</v>
      </c>
      <c r="B70" s="103" t="s">
        <v>63</v>
      </c>
      <c r="C70" s="103"/>
      <c r="D70" s="104">
        <f aca="true" t="shared" si="6" ref="D70:R70">SUM(D11:D32,D51:D69)</f>
        <v>42</v>
      </c>
      <c r="E70" s="104">
        <f t="shared" si="6"/>
        <v>32</v>
      </c>
      <c r="F70" s="105">
        <f t="shared" si="6"/>
        <v>6874620</v>
      </c>
      <c r="G70" s="105">
        <f t="shared" si="6"/>
        <v>42</v>
      </c>
      <c r="H70" s="105">
        <f t="shared" si="6"/>
        <v>42</v>
      </c>
      <c r="I70" s="105">
        <f t="shared" si="6"/>
        <v>42</v>
      </c>
      <c r="J70" s="105">
        <f t="shared" si="6"/>
        <v>0</v>
      </c>
      <c r="K70" s="105">
        <f t="shared" si="6"/>
        <v>0</v>
      </c>
      <c r="L70" s="105">
        <f t="shared" si="6"/>
        <v>0</v>
      </c>
      <c r="M70" s="105">
        <f t="shared" si="6"/>
        <v>216420</v>
      </c>
      <c r="N70" s="105">
        <f t="shared" si="6"/>
        <v>225660</v>
      </c>
      <c r="O70" s="105">
        <f t="shared" si="6"/>
        <v>227820</v>
      </c>
      <c r="P70" s="105">
        <f t="shared" si="6"/>
        <v>7091040</v>
      </c>
      <c r="Q70" s="105">
        <f t="shared" si="6"/>
        <v>7316700</v>
      </c>
      <c r="R70" s="105">
        <f t="shared" si="6"/>
        <v>7544520</v>
      </c>
      <c r="S70" s="142"/>
      <c r="T70" s="107"/>
      <c r="U70" s="107"/>
      <c r="V70" s="107"/>
    </row>
    <row r="71" spans="1:22" s="108" customFormat="1" ht="21" customHeight="1">
      <c r="A71" s="102" t="s">
        <v>60</v>
      </c>
      <c r="B71" s="103" t="s">
        <v>64</v>
      </c>
      <c r="C71" s="103"/>
      <c r="D71" s="104"/>
      <c r="E71" s="109"/>
      <c r="F71" s="106"/>
      <c r="G71" s="109"/>
      <c r="H71" s="109"/>
      <c r="I71" s="109"/>
      <c r="J71" s="104"/>
      <c r="K71" s="104"/>
      <c r="L71" s="104"/>
      <c r="M71" s="110"/>
      <c r="N71" s="110"/>
      <c r="O71" s="110"/>
      <c r="P71" s="105">
        <f>(P70*20)/100</f>
        <v>1418208</v>
      </c>
      <c r="Q71" s="105">
        <f>(Q70*20)/100</f>
        <v>1463340</v>
      </c>
      <c r="R71" s="105">
        <f>(R70*20)/100</f>
        <v>1508904</v>
      </c>
      <c r="S71" s="143"/>
      <c r="T71" s="107"/>
      <c r="U71" s="107"/>
      <c r="V71" s="107"/>
    </row>
    <row r="72" spans="1:22" s="108" customFormat="1" ht="21" customHeight="1">
      <c r="A72" s="102" t="s">
        <v>61</v>
      </c>
      <c r="B72" s="103" t="s">
        <v>65</v>
      </c>
      <c r="C72" s="103"/>
      <c r="D72" s="104"/>
      <c r="E72" s="109"/>
      <c r="F72" s="106"/>
      <c r="G72" s="109"/>
      <c r="H72" s="109"/>
      <c r="I72" s="109"/>
      <c r="J72" s="104"/>
      <c r="K72" s="104"/>
      <c r="L72" s="104"/>
      <c r="M72" s="110"/>
      <c r="N72" s="110"/>
      <c r="O72" s="110"/>
      <c r="P72" s="105">
        <f>SUM(P70:P71)</f>
        <v>8509248</v>
      </c>
      <c r="Q72" s="105">
        <f>SUM(Q70:Q71)</f>
        <v>8780040</v>
      </c>
      <c r="R72" s="105">
        <f>SUM(R70:R71)</f>
        <v>9053424</v>
      </c>
      <c r="S72" s="143"/>
      <c r="T72" s="107"/>
      <c r="U72" s="107"/>
      <c r="V72" s="107"/>
    </row>
    <row r="73" spans="1:22" s="108" customFormat="1" ht="21" customHeight="1">
      <c r="A73" s="102" t="s">
        <v>62</v>
      </c>
      <c r="B73" s="103" t="s">
        <v>66</v>
      </c>
      <c r="C73" s="103"/>
      <c r="D73" s="104"/>
      <c r="E73" s="109"/>
      <c r="F73" s="106"/>
      <c r="G73" s="109"/>
      <c r="H73" s="109"/>
      <c r="I73" s="109"/>
      <c r="J73" s="104"/>
      <c r="K73" s="104"/>
      <c r="L73" s="104"/>
      <c r="M73" s="111"/>
      <c r="N73" s="110"/>
      <c r="O73" s="110"/>
      <c r="P73" s="112">
        <f>(P72/F75)*100</f>
        <v>27.831545760571736</v>
      </c>
      <c r="Q73" s="112">
        <f>(Q72/F76)*100</f>
        <v>27.349748799877187</v>
      </c>
      <c r="R73" s="112">
        <f>(R72/F77)*100</f>
        <v>26.858416761609217</v>
      </c>
      <c r="S73" s="143"/>
      <c r="T73" s="107"/>
      <c r="U73" s="107"/>
      <c r="V73" s="107"/>
    </row>
    <row r="74" spans="1:19" ht="21" customHeight="1">
      <c r="A74" s="89"/>
      <c r="B74" s="124" t="s">
        <v>286</v>
      </c>
      <c r="C74" s="124"/>
      <c r="D74" s="122" t="s">
        <v>242</v>
      </c>
      <c r="E74" s="125"/>
      <c r="F74" s="126">
        <v>29118202</v>
      </c>
      <c r="G74" s="127" t="s">
        <v>212</v>
      </c>
      <c r="H74" s="127"/>
      <c r="I74" s="127"/>
      <c r="J74" s="122"/>
      <c r="K74" s="122"/>
      <c r="L74" s="122"/>
      <c r="M74" s="15"/>
      <c r="N74" s="128"/>
      <c r="O74" s="128"/>
      <c r="P74" s="129"/>
      <c r="Q74" s="129"/>
      <c r="R74" s="129"/>
      <c r="S74" s="129"/>
    </row>
    <row r="75" spans="1:22" s="108" customFormat="1" ht="21" customHeight="1">
      <c r="A75" s="115"/>
      <c r="B75" s="124" t="s">
        <v>276</v>
      </c>
      <c r="C75" s="1"/>
      <c r="D75" s="122" t="s">
        <v>242</v>
      </c>
      <c r="E75" s="118"/>
      <c r="F75" s="118">
        <f>F74+((F74*5)/100)</f>
        <v>30574112.1</v>
      </c>
      <c r="G75" s="113" t="s">
        <v>237</v>
      </c>
      <c r="H75" s="4"/>
      <c r="I75" s="4"/>
      <c r="J75" s="4"/>
      <c r="K75" s="4"/>
      <c r="L75" s="4"/>
      <c r="M75" s="7"/>
      <c r="N75" s="7"/>
      <c r="O75" s="116"/>
      <c r="P75" s="117"/>
      <c r="Q75" s="117"/>
      <c r="R75" s="117"/>
      <c r="S75" s="117"/>
      <c r="T75" s="107"/>
      <c r="U75" s="107"/>
      <c r="V75" s="107"/>
    </row>
    <row r="76" spans="2:14" ht="21" customHeight="1">
      <c r="B76" s="124" t="s">
        <v>277</v>
      </c>
      <c r="D76" s="122" t="s">
        <v>242</v>
      </c>
      <c r="E76" s="118"/>
      <c r="F76" s="118">
        <f>F75+((F75*5)/100)</f>
        <v>32102817.705000002</v>
      </c>
      <c r="G76" s="113" t="s">
        <v>238</v>
      </c>
      <c r="J76" s="4"/>
      <c r="K76" s="4"/>
      <c r="L76" s="4"/>
      <c r="M76" s="7"/>
      <c r="N76" s="7"/>
    </row>
    <row r="77" spans="2:14" ht="21" customHeight="1">
      <c r="B77" s="124" t="s">
        <v>278</v>
      </c>
      <c r="D77" s="122" t="s">
        <v>242</v>
      </c>
      <c r="E77" s="119"/>
      <c r="F77" s="118">
        <f>F76+((F76*5)/100)</f>
        <v>33707958.59025</v>
      </c>
      <c r="G77" s="113" t="s">
        <v>239</v>
      </c>
      <c r="J77" s="4"/>
      <c r="K77" s="4"/>
      <c r="L77" s="4"/>
      <c r="M77" s="7"/>
      <c r="N77" s="7"/>
    </row>
    <row r="78" ht="21" customHeight="1">
      <c r="B78" s="1" t="s">
        <v>67</v>
      </c>
    </row>
    <row r="80" spans="1:18" ht="21" customHeight="1">
      <c r="A80" s="34"/>
      <c r="B80" s="88"/>
      <c r="C80" s="89"/>
      <c r="E80" s="90"/>
      <c r="F80" s="89" t="s">
        <v>56</v>
      </c>
      <c r="H80" s="15"/>
      <c r="I80" s="15"/>
      <c r="J80" s="89"/>
      <c r="K80" s="89"/>
      <c r="L80" s="89"/>
      <c r="M80" s="89"/>
      <c r="N80" s="34"/>
      <c r="O80" s="89"/>
      <c r="P80" s="89" t="s">
        <v>56</v>
      </c>
      <c r="Q80" s="90"/>
      <c r="R80" s="15"/>
    </row>
    <row r="81" spans="1:18" ht="21" customHeight="1">
      <c r="A81" s="34"/>
      <c r="B81" s="88"/>
      <c r="C81" s="89"/>
      <c r="D81" s="34" t="s">
        <v>240</v>
      </c>
      <c r="E81" s="89"/>
      <c r="F81" s="91"/>
      <c r="G81" s="15"/>
      <c r="H81" s="15"/>
      <c r="I81" s="15"/>
      <c r="J81" s="89"/>
      <c r="K81" s="89"/>
      <c r="L81" s="89"/>
      <c r="M81" s="89"/>
      <c r="N81" s="34" t="s">
        <v>57</v>
      </c>
      <c r="O81" s="89"/>
      <c r="P81" s="89"/>
      <c r="Q81" s="90"/>
      <c r="R81" s="15"/>
    </row>
    <row r="82" spans="1:18" ht="21" customHeight="1">
      <c r="A82" s="34"/>
      <c r="B82" s="88"/>
      <c r="C82" s="89"/>
      <c r="D82" s="34" t="s">
        <v>55</v>
      </c>
      <c r="E82" s="89"/>
      <c r="F82" s="91"/>
      <c r="G82" s="15"/>
      <c r="H82" s="15"/>
      <c r="I82" s="15"/>
      <c r="J82" s="89"/>
      <c r="K82" s="89"/>
      <c r="L82" s="89"/>
      <c r="M82" s="89"/>
      <c r="N82" s="34" t="s">
        <v>58</v>
      </c>
      <c r="O82" s="89"/>
      <c r="P82" s="89"/>
      <c r="Q82" s="90"/>
      <c r="R82" s="15"/>
    </row>
  </sheetData>
  <sheetProtection/>
  <mergeCells count="24">
    <mergeCell ref="A6:A10"/>
    <mergeCell ref="B6:B10"/>
    <mergeCell ref="E6:F6"/>
    <mergeCell ref="G6:I6"/>
    <mergeCell ref="G8:I8"/>
    <mergeCell ref="A45:A49"/>
    <mergeCell ref="B45:B49"/>
    <mergeCell ref="E45:F45"/>
    <mergeCell ref="G47:I47"/>
    <mergeCell ref="G45:I45"/>
    <mergeCell ref="J6:L6"/>
    <mergeCell ref="M6:O6"/>
    <mergeCell ref="P6:R6"/>
    <mergeCell ref="E7:F7"/>
    <mergeCell ref="G7:I7"/>
    <mergeCell ref="J7:L7"/>
    <mergeCell ref="M7:O7"/>
    <mergeCell ref="J45:L45"/>
    <mergeCell ref="M45:O45"/>
    <mergeCell ref="P45:R45"/>
    <mergeCell ref="E46:F46"/>
    <mergeCell ref="G46:I46"/>
    <mergeCell ref="J46:L46"/>
    <mergeCell ref="M46:O46"/>
  </mergeCells>
  <printOptions/>
  <pageMargins left="0.32" right="0" top="0.5" bottom="0" header="0.3" footer="0.0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="80" zoomScaleNormal="90" zoomScaleSheetLayoutView="80" zoomScalePageLayoutView="0" workbookViewId="0" topLeftCell="A61">
      <selection activeCell="E96" sqref="E96"/>
    </sheetView>
  </sheetViews>
  <sheetFormatPr defaultColWidth="9.00390625" defaultRowHeight="24" customHeight="1"/>
  <cols>
    <col min="1" max="1" width="4.140625" style="306" customWidth="1"/>
    <col min="2" max="2" width="24.57421875" style="307" customWidth="1"/>
    <col min="3" max="3" width="16.140625" style="307" customWidth="1"/>
    <col min="4" max="4" width="21.7109375" style="308" bestFit="1" customWidth="1"/>
    <col min="5" max="5" width="27.421875" style="306" bestFit="1" customWidth="1"/>
    <col min="6" max="6" width="13.7109375" style="306" bestFit="1" customWidth="1"/>
    <col min="7" max="7" width="12.28125" style="306" customWidth="1"/>
    <col min="8" max="8" width="21.7109375" style="308" bestFit="1" customWidth="1"/>
    <col min="9" max="9" width="27.421875" style="306" bestFit="1" customWidth="1"/>
    <col min="10" max="10" width="13.7109375" style="306" bestFit="1" customWidth="1"/>
    <col min="11" max="11" width="12.28125" style="306" customWidth="1"/>
    <col min="12" max="12" width="18.7109375" style="306" customWidth="1"/>
    <col min="13" max="13" width="14.8515625" style="306" customWidth="1"/>
    <col min="14" max="14" width="12.00390625" style="306" customWidth="1"/>
    <col min="15" max="15" width="12.7109375" style="306" customWidth="1"/>
    <col min="16" max="16" width="9.00390625" style="206" customWidth="1"/>
    <col min="17" max="17" width="11.57421875" style="206" bestFit="1" customWidth="1"/>
    <col min="18" max="16384" width="9.00390625" style="206" customWidth="1"/>
  </cols>
  <sheetData>
    <row r="1" spans="1:15" ht="24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3" spans="1:15" s="208" customFormat="1" ht="24" customHeight="1">
      <c r="A3" s="343" t="s">
        <v>162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5" s="208" customFormat="1" ht="24" customHeight="1">
      <c r="A4" s="207"/>
      <c r="B4" s="207" t="s">
        <v>161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s="208" customFormat="1" ht="24" customHeight="1">
      <c r="A5" s="344"/>
      <c r="B5" s="345"/>
      <c r="C5" s="345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5" ht="24" customHeight="1">
      <c r="A6" s="209"/>
      <c r="B6" s="210"/>
      <c r="C6" s="210"/>
      <c r="D6" s="335" t="s">
        <v>166</v>
      </c>
      <c r="E6" s="336"/>
      <c r="F6" s="336"/>
      <c r="G6" s="337"/>
      <c r="H6" s="335" t="s">
        <v>167</v>
      </c>
      <c r="I6" s="336"/>
      <c r="J6" s="336"/>
      <c r="K6" s="337"/>
      <c r="L6" s="335" t="s">
        <v>169</v>
      </c>
      <c r="M6" s="336"/>
      <c r="N6" s="337"/>
      <c r="O6" s="211" t="s">
        <v>80</v>
      </c>
    </row>
    <row r="7" spans="1:15" ht="24" customHeight="1">
      <c r="A7" s="212" t="s">
        <v>3</v>
      </c>
      <c r="B7" s="213" t="s">
        <v>163</v>
      </c>
      <c r="C7" s="213" t="s">
        <v>164</v>
      </c>
      <c r="D7" s="211" t="s">
        <v>168</v>
      </c>
      <c r="E7" s="214" t="s">
        <v>12</v>
      </c>
      <c r="F7" s="211" t="s">
        <v>17</v>
      </c>
      <c r="G7" s="211" t="s">
        <v>8</v>
      </c>
      <c r="H7" s="211" t="s">
        <v>168</v>
      </c>
      <c r="I7" s="214" t="s">
        <v>12</v>
      </c>
      <c r="J7" s="211" t="s">
        <v>17</v>
      </c>
      <c r="K7" s="211" t="s">
        <v>8</v>
      </c>
      <c r="L7" s="211" t="s">
        <v>14</v>
      </c>
      <c r="M7" s="211" t="s">
        <v>81</v>
      </c>
      <c r="N7" s="211" t="s">
        <v>82</v>
      </c>
      <c r="O7" s="215" t="s">
        <v>83</v>
      </c>
    </row>
    <row r="8" spans="1:15" ht="24" customHeight="1">
      <c r="A8" s="216"/>
      <c r="B8" s="217"/>
      <c r="C8" s="217" t="s">
        <v>165</v>
      </c>
      <c r="D8" s="218"/>
      <c r="E8" s="219"/>
      <c r="F8" s="217"/>
      <c r="G8" s="218"/>
      <c r="H8" s="218"/>
      <c r="I8" s="219"/>
      <c r="J8" s="217"/>
      <c r="K8" s="218"/>
      <c r="L8" s="217"/>
      <c r="M8" s="217" t="s">
        <v>12</v>
      </c>
      <c r="N8" s="217" t="s">
        <v>84</v>
      </c>
      <c r="O8" s="220"/>
    </row>
    <row r="9" spans="1:15" ht="24" customHeight="1">
      <c r="A9" s="221"/>
      <c r="B9" s="222"/>
      <c r="C9" s="222"/>
      <c r="D9" s="222"/>
      <c r="E9" s="223"/>
      <c r="F9" s="222"/>
      <c r="G9" s="222"/>
      <c r="H9" s="222"/>
      <c r="I9" s="223"/>
      <c r="J9" s="222"/>
      <c r="K9" s="222"/>
      <c r="L9" s="221"/>
      <c r="M9" s="222"/>
      <c r="N9" s="222"/>
      <c r="O9" s="221"/>
    </row>
    <row r="10" spans="1:15" ht="24" customHeight="1">
      <c r="A10" s="224">
        <v>1</v>
      </c>
      <c r="B10" s="225" t="s">
        <v>85</v>
      </c>
      <c r="C10" s="226" t="s">
        <v>86</v>
      </c>
      <c r="D10" s="227" t="s">
        <v>289</v>
      </c>
      <c r="E10" s="228" t="s">
        <v>170</v>
      </c>
      <c r="F10" s="224" t="s">
        <v>18</v>
      </c>
      <c r="G10" s="224" t="s">
        <v>19</v>
      </c>
      <c r="H10" s="227" t="s">
        <v>289</v>
      </c>
      <c r="I10" s="228" t="s">
        <v>170</v>
      </c>
      <c r="J10" s="224" t="s">
        <v>18</v>
      </c>
      <c r="K10" s="224" t="s">
        <v>19</v>
      </c>
      <c r="L10" s="229">
        <f>30790*12</f>
        <v>369480</v>
      </c>
      <c r="M10" s="230">
        <f>4000*12</f>
        <v>48000</v>
      </c>
      <c r="N10" s="230">
        <v>0</v>
      </c>
      <c r="O10" s="231">
        <f>+L10+M10</f>
        <v>417480</v>
      </c>
    </row>
    <row r="11" spans="1:15" ht="24" customHeight="1">
      <c r="A11" s="224"/>
      <c r="B11" s="225"/>
      <c r="C11" s="226" t="s">
        <v>87</v>
      </c>
      <c r="D11" s="232"/>
      <c r="E11" s="228" t="s">
        <v>171</v>
      </c>
      <c r="F11" s="224"/>
      <c r="G11" s="224"/>
      <c r="H11" s="232"/>
      <c r="I11" s="228" t="s">
        <v>171</v>
      </c>
      <c r="J11" s="224"/>
      <c r="K11" s="224"/>
      <c r="L11" s="383" t="s">
        <v>291</v>
      </c>
      <c r="M11" s="230" t="s">
        <v>292</v>
      </c>
      <c r="N11" s="230"/>
      <c r="O11" s="224"/>
    </row>
    <row r="12" spans="1:15" ht="24" customHeight="1">
      <c r="A12" s="233"/>
      <c r="B12" s="233"/>
      <c r="C12" s="233"/>
      <c r="D12" s="233"/>
      <c r="E12" s="234"/>
      <c r="F12" s="233"/>
      <c r="G12" s="233"/>
      <c r="H12" s="233"/>
      <c r="I12" s="234"/>
      <c r="J12" s="233"/>
      <c r="K12" s="233"/>
      <c r="L12" s="235"/>
      <c r="M12" s="236"/>
      <c r="N12" s="236"/>
      <c r="O12" s="233"/>
    </row>
    <row r="13" spans="1:15" ht="24" customHeight="1">
      <c r="A13" s="237"/>
      <c r="B13" s="393" t="s">
        <v>343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5"/>
    </row>
    <row r="14" spans="1:15" ht="24" customHeight="1">
      <c r="A14" s="227">
        <v>2</v>
      </c>
      <c r="B14" s="238" t="s">
        <v>90</v>
      </c>
      <c r="C14" s="226" t="s">
        <v>86</v>
      </c>
      <c r="D14" s="227" t="s">
        <v>290</v>
      </c>
      <c r="E14" s="239" t="s">
        <v>91</v>
      </c>
      <c r="F14" s="227" t="s">
        <v>92</v>
      </c>
      <c r="G14" s="227" t="s">
        <v>19</v>
      </c>
      <c r="H14" s="227" t="s">
        <v>290</v>
      </c>
      <c r="I14" s="239" t="s">
        <v>91</v>
      </c>
      <c r="J14" s="227" t="s">
        <v>92</v>
      </c>
      <c r="K14" s="227" t="s">
        <v>19</v>
      </c>
      <c r="L14" s="229">
        <f>27480*12</f>
        <v>329760</v>
      </c>
      <c r="M14" s="230">
        <f>3500*12</f>
        <v>42000</v>
      </c>
      <c r="N14" s="230">
        <v>0</v>
      </c>
      <c r="O14" s="231">
        <f>+L14+M14</f>
        <v>371760</v>
      </c>
    </row>
    <row r="15" spans="1:15" ht="24" customHeight="1">
      <c r="A15" s="227"/>
      <c r="B15" s="238"/>
      <c r="C15" s="226" t="s">
        <v>93</v>
      </c>
      <c r="D15" s="227"/>
      <c r="E15" s="240" t="s">
        <v>172</v>
      </c>
      <c r="F15" s="227" t="s">
        <v>89</v>
      </c>
      <c r="G15" s="227"/>
      <c r="H15" s="227"/>
      <c r="I15" s="240" t="s">
        <v>172</v>
      </c>
      <c r="J15" s="227" t="s">
        <v>89</v>
      </c>
      <c r="K15" s="227"/>
      <c r="L15" s="383" t="s">
        <v>294</v>
      </c>
      <c r="M15" s="230" t="s">
        <v>293</v>
      </c>
      <c r="N15" s="230"/>
      <c r="O15" s="224"/>
    </row>
    <row r="16" spans="1:15" ht="24" customHeight="1">
      <c r="A16" s="241"/>
      <c r="B16" s="242"/>
      <c r="C16" s="243"/>
      <c r="D16" s="241"/>
      <c r="E16" s="244"/>
      <c r="F16" s="241"/>
      <c r="G16" s="241"/>
      <c r="H16" s="241"/>
      <c r="I16" s="244"/>
      <c r="J16" s="241"/>
      <c r="K16" s="241"/>
      <c r="L16" s="245"/>
      <c r="M16" s="246"/>
      <c r="N16" s="246"/>
      <c r="O16" s="241"/>
    </row>
    <row r="17" spans="1:15" ht="24" customHeight="1">
      <c r="A17" s="247">
        <v>3</v>
      </c>
      <c r="B17" s="248" t="s">
        <v>94</v>
      </c>
      <c r="C17" s="248" t="s">
        <v>98</v>
      </c>
      <c r="D17" s="249" t="s">
        <v>295</v>
      </c>
      <c r="E17" s="250" t="s">
        <v>174</v>
      </c>
      <c r="F17" s="247" t="s">
        <v>22</v>
      </c>
      <c r="G17" s="247" t="s">
        <v>96</v>
      </c>
      <c r="H17" s="249" t="s">
        <v>295</v>
      </c>
      <c r="I17" s="250" t="s">
        <v>174</v>
      </c>
      <c r="J17" s="247" t="s">
        <v>22</v>
      </c>
      <c r="K17" s="247" t="s">
        <v>96</v>
      </c>
      <c r="L17" s="251">
        <f>((9740+49480)/2)*12</f>
        <v>355320</v>
      </c>
      <c r="M17" s="252">
        <v>0</v>
      </c>
      <c r="N17" s="252">
        <v>0</v>
      </c>
      <c r="O17" s="253">
        <f>+L17+M17+N17</f>
        <v>355320</v>
      </c>
    </row>
    <row r="18" spans="1:15" ht="24" customHeight="1">
      <c r="A18" s="241"/>
      <c r="B18" s="254"/>
      <c r="C18" s="254"/>
      <c r="D18" s="255"/>
      <c r="E18" s="256"/>
      <c r="F18" s="241"/>
      <c r="G18" s="241" t="s">
        <v>97</v>
      </c>
      <c r="H18" s="255"/>
      <c r="I18" s="256"/>
      <c r="J18" s="241"/>
      <c r="K18" s="241" t="s">
        <v>97</v>
      </c>
      <c r="L18" s="384" t="s">
        <v>307</v>
      </c>
      <c r="M18" s="385"/>
      <c r="N18" s="246"/>
      <c r="O18" s="241" t="s">
        <v>173</v>
      </c>
    </row>
    <row r="19" spans="1:15" ht="24" customHeight="1">
      <c r="A19" s="247">
        <v>4</v>
      </c>
      <c r="B19" s="257" t="s">
        <v>104</v>
      </c>
      <c r="C19" s="248" t="s">
        <v>99</v>
      </c>
      <c r="D19" s="247" t="s">
        <v>296</v>
      </c>
      <c r="E19" s="250" t="s">
        <v>175</v>
      </c>
      <c r="F19" s="247" t="s">
        <v>22</v>
      </c>
      <c r="G19" s="258" t="s">
        <v>96</v>
      </c>
      <c r="H19" s="247" t="s">
        <v>296</v>
      </c>
      <c r="I19" s="250" t="s">
        <v>175</v>
      </c>
      <c r="J19" s="247" t="s">
        <v>22</v>
      </c>
      <c r="K19" s="258" t="s">
        <v>96</v>
      </c>
      <c r="L19" s="229">
        <f>22980*12</f>
        <v>275760</v>
      </c>
      <c r="M19" s="230">
        <v>0</v>
      </c>
      <c r="N19" s="252">
        <v>0</v>
      </c>
      <c r="O19" s="252">
        <f>+L19+M19+N19</f>
        <v>275760</v>
      </c>
    </row>
    <row r="20" spans="1:15" ht="24" customHeight="1">
      <c r="A20" s="259"/>
      <c r="B20" s="260"/>
      <c r="C20" s="261" t="s">
        <v>105</v>
      </c>
      <c r="D20" s="259"/>
      <c r="E20" s="262"/>
      <c r="F20" s="259"/>
      <c r="G20" s="263"/>
      <c r="H20" s="259"/>
      <c r="I20" s="262"/>
      <c r="J20" s="259"/>
      <c r="K20" s="263"/>
      <c r="L20" s="383" t="s">
        <v>297</v>
      </c>
      <c r="M20" s="230"/>
      <c r="N20" s="259"/>
      <c r="O20" s="259"/>
    </row>
    <row r="21" spans="1:15" ht="24" customHeight="1">
      <c r="A21" s="241"/>
      <c r="B21" s="242"/>
      <c r="C21" s="254" t="s">
        <v>106</v>
      </c>
      <c r="D21" s="241"/>
      <c r="E21" s="256"/>
      <c r="F21" s="241"/>
      <c r="G21" s="264"/>
      <c r="H21" s="241"/>
      <c r="I21" s="256"/>
      <c r="J21" s="241"/>
      <c r="K21" s="264"/>
      <c r="L21" s="265"/>
      <c r="M21" s="266"/>
      <c r="N21" s="246"/>
      <c r="O21" s="241"/>
    </row>
    <row r="22" spans="1:15" ht="24" customHeight="1">
      <c r="A22" s="247">
        <v>5</v>
      </c>
      <c r="B22" s="257" t="s">
        <v>101</v>
      </c>
      <c r="C22" s="248" t="s">
        <v>99</v>
      </c>
      <c r="D22" s="247" t="s">
        <v>299</v>
      </c>
      <c r="E22" s="250" t="s">
        <v>102</v>
      </c>
      <c r="F22" s="247" t="s">
        <v>22</v>
      </c>
      <c r="G22" s="258" t="s">
        <v>96</v>
      </c>
      <c r="H22" s="247" t="s">
        <v>299</v>
      </c>
      <c r="I22" s="250" t="s">
        <v>102</v>
      </c>
      <c r="J22" s="247" t="s">
        <v>22</v>
      </c>
      <c r="K22" s="258" t="s">
        <v>96</v>
      </c>
      <c r="L22" s="229">
        <f>21880*12</f>
        <v>262560</v>
      </c>
      <c r="M22" s="252">
        <v>0</v>
      </c>
      <c r="N22" s="252">
        <v>0</v>
      </c>
      <c r="O22" s="267">
        <f>+L22+M22</f>
        <v>262560</v>
      </c>
    </row>
    <row r="23" spans="1:15" ht="24" customHeight="1">
      <c r="A23" s="268"/>
      <c r="B23" s="269"/>
      <c r="C23" s="243" t="s">
        <v>103</v>
      </c>
      <c r="D23" s="268"/>
      <c r="E23" s="270"/>
      <c r="F23" s="268"/>
      <c r="G23" s="271"/>
      <c r="H23" s="268"/>
      <c r="I23" s="270"/>
      <c r="J23" s="268"/>
      <c r="K23" s="271"/>
      <c r="L23" s="383" t="s">
        <v>298</v>
      </c>
      <c r="M23" s="235"/>
      <c r="N23" s="235"/>
      <c r="O23" s="259"/>
    </row>
    <row r="24" spans="1:15" ht="24" customHeight="1">
      <c r="A24" s="247">
        <v>6</v>
      </c>
      <c r="B24" s="248" t="s">
        <v>0</v>
      </c>
      <c r="C24" s="248" t="s">
        <v>0</v>
      </c>
      <c r="D24" s="247" t="s">
        <v>300</v>
      </c>
      <c r="E24" s="250" t="s">
        <v>100</v>
      </c>
      <c r="F24" s="247" t="s">
        <v>22</v>
      </c>
      <c r="G24" s="247" t="s">
        <v>96</v>
      </c>
      <c r="H24" s="247" t="s">
        <v>300</v>
      </c>
      <c r="I24" s="250" t="s">
        <v>100</v>
      </c>
      <c r="J24" s="247" t="s">
        <v>22</v>
      </c>
      <c r="K24" s="247" t="s">
        <v>96</v>
      </c>
      <c r="L24" s="251">
        <f>((9740+49480)/2)*12</f>
        <v>355320</v>
      </c>
      <c r="M24" s="252">
        <v>0</v>
      </c>
      <c r="N24" s="252">
        <v>0</v>
      </c>
      <c r="O24" s="267">
        <f>+L24+M24</f>
        <v>355320</v>
      </c>
    </row>
    <row r="25" spans="1:15" ht="24" customHeight="1">
      <c r="A25" s="241"/>
      <c r="B25" s="240"/>
      <c r="C25" s="240"/>
      <c r="D25" s="241"/>
      <c r="E25" s="272"/>
      <c r="F25" s="227"/>
      <c r="G25" s="241" t="s">
        <v>97</v>
      </c>
      <c r="H25" s="241"/>
      <c r="I25" s="272"/>
      <c r="J25" s="227"/>
      <c r="K25" s="241" t="s">
        <v>97</v>
      </c>
      <c r="L25" s="339" t="s">
        <v>307</v>
      </c>
      <c r="M25" s="340"/>
      <c r="N25" s="246"/>
      <c r="O25" s="259" t="s">
        <v>173</v>
      </c>
    </row>
    <row r="26" spans="1:15" ht="24" customHeight="1">
      <c r="A26" s="247">
        <v>7</v>
      </c>
      <c r="B26" s="257" t="s">
        <v>309</v>
      </c>
      <c r="C26" s="248" t="s">
        <v>99</v>
      </c>
      <c r="D26" s="247">
        <v>7120152</v>
      </c>
      <c r="E26" s="250" t="s">
        <v>305</v>
      </c>
      <c r="F26" s="247" t="s">
        <v>0</v>
      </c>
      <c r="G26" s="247" t="s">
        <v>115</v>
      </c>
      <c r="H26" s="247">
        <v>7120152</v>
      </c>
      <c r="I26" s="250" t="s">
        <v>305</v>
      </c>
      <c r="J26" s="247" t="s">
        <v>0</v>
      </c>
      <c r="K26" s="247" t="s">
        <v>115</v>
      </c>
      <c r="L26" s="273">
        <f>21150*12</f>
        <v>253800</v>
      </c>
      <c r="M26" s="252">
        <v>0</v>
      </c>
      <c r="N26" s="252">
        <v>0</v>
      </c>
      <c r="O26" s="253">
        <f>+L26+M26+N26</f>
        <v>253800</v>
      </c>
    </row>
    <row r="27" spans="1:15" ht="24" customHeight="1">
      <c r="A27" s="241"/>
      <c r="B27" s="242"/>
      <c r="C27" s="254"/>
      <c r="D27" s="241"/>
      <c r="E27" s="256"/>
      <c r="F27" s="241"/>
      <c r="G27" s="241"/>
      <c r="H27" s="241"/>
      <c r="I27" s="256"/>
      <c r="J27" s="241"/>
      <c r="K27" s="241"/>
      <c r="L27" s="382" t="s">
        <v>310</v>
      </c>
      <c r="M27" s="246"/>
      <c r="N27" s="246"/>
      <c r="O27" s="241" t="s">
        <v>72</v>
      </c>
    </row>
    <row r="28" spans="1:15" ht="24" customHeight="1">
      <c r="A28" s="247">
        <v>8</v>
      </c>
      <c r="B28" s="257" t="s">
        <v>116</v>
      </c>
      <c r="C28" s="248" t="s">
        <v>86</v>
      </c>
      <c r="D28" s="247">
        <v>7120153</v>
      </c>
      <c r="E28" s="250" t="s">
        <v>305</v>
      </c>
      <c r="F28" s="247" t="s">
        <v>0</v>
      </c>
      <c r="G28" s="247" t="s">
        <v>115</v>
      </c>
      <c r="H28" s="247">
        <v>7120153</v>
      </c>
      <c r="I28" s="250" t="s">
        <v>305</v>
      </c>
      <c r="J28" s="247" t="s">
        <v>0</v>
      </c>
      <c r="K28" s="247" t="s">
        <v>115</v>
      </c>
      <c r="L28" s="273">
        <f>21150*12</f>
        <v>253800</v>
      </c>
      <c r="M28" s="252">
        <v>0</v>
      </c>
      <c r="N28" s="252">
        <v>0</v>
      </c>
      <c r="O28" s="253">
        <f>+L28+M28+N28</f>
        <v>253800</v>
      </c>
    </row>
    <row r="29" spans="1:15" ht="24" customHeight="1">
      <c r="A29" s="268"/>
      <c r="B29" s="269"/>
      <c r="C29" s="243" t="s">
        <v>301</v>
      </c>
      <c r="D29" s="268"/>
      <c r="E29" s="256"/>
      <c r="F29" s="241"/>
      <c r="G29" s="241"/>
      <c r="H29" s="268"/>
      <c r="I29" s="256"/>
      <c r="J29" s="241"/>
      <c r="K29" s="241"/>
      <c r="L29" s="382" t="s">
        <v>310</v>
      </c>
      <c r="M29" s="246"/>
      <c r="N29" s="246"/>
      <c r="O29" s="241" t="s">
        <v>72</v>
      </c>
    </row>
    <row r="30" spans="1:15" ht="24" customHeight="1">
      <c r="A30" s="247">
        <v>9</v>
      </c>
      <c r="B30" s="257" t="s">
        <v>117</v>
      </c>
      <c r="C30" s="248" t="s">
        <v>86</v>
      </c>
      <c r="D30" s="247">
        <v>7120154</v>
      </c>
      <c r="E30" s="250" t="s">
        <v>305</v>
      </c>
      <c r="F30" s="247" t="s">
        <v>0</v>
      </c>
      <c r="G30" s="247" t="s">
        <v>115</v>
      </c>
      <c r="H30" s="247">
        <v>7120154</v>
      </c>
      <c r="I30" s="250" t="s">
        <v>305</v>
      </c>
      <c r="J30" s="247" t="s">
        <v>0</v>
      </c>
      <c r="K30" s="247" t="s">
        <v>115</v>
      </c>
      <c r="L30" s="273">
        <f>21150*12</f>
        <v>253800</v>
      </c>
      <c r="M30" s="252">
        <v>0</v>
      </c>
      <c r="N30" s="252">
        <v>0</v>
      </c>
      <c r="O30" s="253">
        <f>+L30+M30+N30</f>
        <v>253800</v>
      </c>
    </row>
    <row r="31" spans="1:15" ht="24" customHeight="1">
      <c r="A31" s="241"/>
      <c r="B31" s="242"/>
      <c r="C31" s="243" t="s">
        <v>301</v>
      </c>
      <c r="D31" s="241"/>
      <c r="E31" s="256"/>
      <c r="F31" s="241"/>
      <c r="G31" s="241"/>
      <c r="H31" s="241"/>
      <c r="I31" s="256"/>
      <c r="J31" s="241"/>
      <c r="K31" s="241"/>
      <c r="L31" s="382" t="s">
        <v>310</v>
      </c>
      <c r="M31" s="246"/>
      <c r="N31" s="246"/>
      <c r="O31" s="241" t="s">
        <v>72</v>
      </c>
    </row>
    <row r="32" spans="1:15" ht="24" customHeight="1">
      <c r="A32" s="247">
        <v>10</v>
      </c>
      <c r="B32" s="225" t="s">
        <v>119</v>
      </c>
      <c r="C32" s="248" t="s">
        <v>86</v>
      </c>
      <c r="D32" s="224">
        <v>7120252</v>
      </c>
      <c r="E32" s="250" t="s">
        <v>305</v>
      </c>
      <c r="F32" s="224" t="s">
        <v>0</v>
      </c>
      <c r="G32" s="247" t="s">
        <v>115</v>
      </c>
      <c r="H32" s="224">
        <v>7120252</v>
      </c>
      <c r="I32" s="250" t="s">
        <v>305</v>
      </c>
      <c r="J32" s="224" t="s">
        <v>0</v>
      </c>
      <c r="K32" s="247" t="s">
        <v>115</v>
      </c>
      <c r="L32" s="273">
        <f>17910*12</f>
        <v>214920</v>
      </c>
      <c r="M32" s="252">
        <v>0</v>
      </c>
      <c r="N32" s="252">
        <v>0</v>
      </c>
      <c r="O32" s="253">
        <f>+L32+M32+N32</f>
        <v>214920</v>
      </c>
    </row>
    <row r="33" spans="1:15" ht="24" customHeight="1">
      <c r="A33" s="241"/>
      <c r="B33" s="242"/>
      <c r="C33" s="243" t="s">
        <v>301</v>
      </c>
      <c r="D33" s="241"/>
      <c r="E33" s="256"/>
      <c r="F33" s="241"/>
      <c r="G33" s="241"/>
      <c r="H33" s="241"/>
      <c r="I33" s="256"/>
      <c r="J33" s="241"/>
      <c r="K33" s="241"/>
      <c r="L33" s="382" t="s">
        <v>311</v>
      </c>
      <c r="M33" s="246"/>
      <c r="N33" s="246"/>
      <c r="O33" s="241" t="s">
        <v>72</v>
      </c>
    </row>
    <row r="34" spans="1:15" ht="24" customHeight="1">
      <c r="A34" s="247">
        <v>11</v>
      </c>
      <c r="B34" s="257" t="s">
        <v>120</v>
      </c>
      <c r="C34" s="248" t="s">
        <v>99</v>
      </c>
      <c r="D34" s="247">
        <v>7120253</v>
      </c>
      <c r="E34" s="250" t="s">
        <v>305</v>
      </c>
      <c r="F34" s="247" t="s">
        <v>0</v>
      </c>
      <c r="G34" s="247" t="s">
        <v>115</v>
      </c>
      <c r="H34" s="247">
        <v>7120253</v>
      </c>
      <c r="I34" s="250" t="s">
        <v>305</v>
      </c>
      <c r="J34" s="247" t="s">
        <v>0</v>
      </c>
      <c r="K34" s="247" t="s">
        <v>115</v>
      </c>
      <c r="L34" s="273">
        <f>17910*12</f>
        <v>214920</v>
      </c>
      <c r="M34" s="252">
        <v>0</v>
      </c>
      <c r="N34" s="252">
        <v>0</v>
      </c>
      <c r="O34" s="253">
        <f>+L34+M34+N34</f>
        <v>214920</v>
      </c>
    </row>
    <row r="35" spans="1:15" ht="24" customHeight="1">
      <c r="A35" s="241"/>
      <c r="B35" s="242"/>
      <c r="C35" s="254"/>
      <c r="D35" s="268"/>
      <c r="E35" s="256"/>
      <c r="F35" s="241"/>
      <c r="G35" s="241"/>
      <c r="H35" s="268"/>
      <c r="I35" s="256"/>
      <c r="J35" s="241"/>
      <c r="K35" s="241"/>
      <c r="L35" s="382" t="s">
        <v>311</v>
      </c>
      <c r="M35" s="246"/>
      <c r="N35" s="246"/>
      <c r="O35" s="241" t="s">
        <v>72</v>
      </c>
    </row>
    <row r="36" spans="1:15" ht="24" customHeight="1">
      <c r="A36" s="247">
        <v>12</v>
      </c>
      <c r="B36" s="257" t="s">
        <v>121</v>
      </c>
      <c r="C36" s="248" t="s">
        <v>99</v>
      </c>
      <c r="D36" s="247">
        <v>7120254</v>
      </c>
      <c r="E36" s="250" t="s">
        <v>305</v>
      </c>
      <c r="F36" s="247" t="s">
        <v>0</v>
      </c>
      <c r="G36" s="247" t="s">
        <v>115</v>
      </c>
      <c r="H36" s="247">
        <v>7120254</v>
      </c>
      <c r="I36" s="250" t="s">
        <v>305</v>
      </c>
      <c r="J36" s="247" t="s">
        <v>0</v>
      </c>
      <c r="K36" s="247" t="s">
        <v>115</v>
      </c>
      <c r="L36" s="273">
        <f>17910*12</f>
        <v>214920</v>
      </c>
      <c r="M36" s="252">
        <v>0</v>
      </c>
      <c r="N36" s="252">
        <v>0</v>
      </c>
      <c r="O36" s="253">
        <f>+L36+M36+N36</f>
        <v>214920</v>
      </c>
    </row>
    <row r="37" spans="1:15" ht="24" customHeight="1">
      <c r="A37" s="268"/>
      <c r="B37" s="269"/>
      <c r="C37" s="243"/>
      <c r="D37" s="268"/>
      <c r="E37" s="256"/>
      <c r="F37" s="268"/>
      <c r="G37" s="241"/>
      <c r="H37" s="268"/>
      <c r="I37" s="256"/>
      <c r="J37" s="268"/>
      <c r="K37" s="241"/>
      <c r="L37" s="382" t="s">
        <v>311</v>
      </c>
      <c r="M37" s="246"/>
      <c r="N37" s="246"/>
      <c r="O37" s="241" t="s">
        <v>72</v>
      </c>
    </row>
    <row r="41" spans="1:15" ht="24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5" ht="24" customHeight="1">
      <c r="A42" s="262"/>
      <c r="B42" s="280"/>
      <c r="C42" s="281"/>
      <c r="D42" s="282"/>
      <c r="E42" s="262"/>
      <c r="F42" s="262"/>
      <c r="G42" s="262"/>
      <c r="H42" s="282"/>
      <c r="I42" s="262"/>
      <c r="J42" s="262"/>
      <c r="K42" s="262"/>
      <c r="L42" s="283"/>
      <c r="M42" s="282"/>
      <c r="N42" s="282"/>
      <c r="O42" s="262"/>
    </row>
    <row r="43" spans="1:15" ht="24" customHeight="1">
      <c r="A43" s="209"/>
      <c r="B43" s="210"/>
      <c r="C43" s="210"/>
      <c r="D43" s="335" t="s">
        <v>167</v>
      </c>
      <c r="E43" s="336"/>
      <c r="F43" s="336"/>
      <c r="G43" s="337"/>
      <c r="H43" s="335" t="s">
        <v>167</v>
      </c>
      <c r="I43" s="336"/>
      <c r="J43" s="336"/>
      <c r="K43" s="337"/>
      <c r="L43" s="335" t="s">
        <v>169</v>
      </c>
      <c r="M43" s="336"/>
      <c r="N43" s="337"/>
      <c r="O43" s="211" t="s">
        <v>80</v>
      </c>
    </row>
    <row r="44" spans="1:15" ht="24" customHeight="1">
      <c r="A44" s="212" t="s">
        <v>3</v>
      </c>
      <c r="B44" s="213" t="s">
        <v>163</v>
      </c>
      <c r="C44" s="213" t="s">
        <v>164</v>
      </c>
      <c r="D44" s="211" t="s">
        <v>168</v>
      </c>
      <c r="E44" s="214" t="s">
        <v>12</v>
      </c>
      <c r="F44" s="211" t="s">
        <v>17</v>
      </c>
      <c r="G44" s="211" t="s">
        <v>8</v>
      </c>
      <c r="H44" s="211" t="s">
        <v>168</v>
      </c>
      <c r="I44" s="214" t="s">
        <v>12</v>
      </c>
      <c r="J44" s="211" t="s">
        <v>17</v>
      </c>
      <c r="K44" s="211" t="s">
        <v>8</v>
      </c>
      <c r="L44" s="211" t="s">
        <v>14</v>
      </c>
      <c r="M44" s="211" t="s">
        <v>81</v>
      </c>
      <c r="N44" s="211" t="s">
        <v>82</v>
      </c>
      <c r="O44" s="215" t="s">
        <v>83</v>
      </c>
    </row>
    <row r="45" spans="1:15" ht="24" customHeight="1">
      <c r="A45" s="216"/>
      <c r="B45" s="217"/>
      <c r="C45" s="217" t="s">
        <v>165</v>
      </c>
      <c r="D45" s="218"/>
      <c r="E45" s="219"/>
      <c r="F45" s="217"/>
      <c r="G45" s="218"/>
      <c r="H45" s="218"/>
      <c r="I45" s="219"/>
      <c r="J45" s="217"/>
      <c r="K45" s="218"/>
      <c r="L45" s="217"/>
      <c r="M45" s="217" t="s">
        <v>12</v>
      </c>
      <c r="N45" s="217" t="s">
        <v>84</v>
      </c>
      <c r="O45" s="220"/>
    </row>
    <row r="46" spans="1:15" ht="24" customHeight="1">
      <c r="A46" s="275" t="s">
        <v>118</v>
      </c>
      <c r="B46" s="396" t="s">
        <v>343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8"/>
    </row>
    <row r="47" spans="1:15" ht="24" customHeight="1">
      <c r="A47" s="247">
        <v>13</v>
      </c>
      <c r="B47" s="257" t="s">
        <v>107</v>
      </c>
      <c r="C47" s="274" t="s">
        <v>154</v>
      </c>
      <c r="D47" s="247" t="s">
        <v>302</v>
      </c>
      <c r="E47" s="247" t="s">
        <v>150</v>
      </c>
      <c r="F47" s="275" t="s">
        <v>35</v>
      </c>
      <c r="G47" s="275" t="s">
        <v>108</v>
      </c>
      <c r="H47" s="247" t="s">
        <v>302</v>
      </c>
      <c r="I47" s="247" t="s">
        <v>150</v>
      </c>
      <c r="J47" s="275" t="s">
        <v>35</v>
      </c>
      <c r="K47" s="275" t="s">
        <v>108</v>
      </c>
      <c r="L47" s="276">
        <f>12470*12</f>
        <v>149640</v>
      </c>
      <c r="M47" s="252">
        <v>0</v>
      </c>
      <c r="N47" s="252">
        <v>0</v>
      </c>
      <c r="O47" s="253">
        <f>+L47+M47+N47</f>
        <v>149640</v>
      </c>
    </row>
    <row r="48" spans="1:15" ht="24" customHeight="1">
      <c r="A48" s="241"/>
      <c r="B48" s="242"/>
      <c r="C48" s="277" t="s">
        <v>303</v>
      </c>
      <c r="D48" s="241"/>
      <c r="E48" s="241"/>
      <c r="F48" s="278"/>
      <c r="G48" s="278"/>
      <c r="H48" s="241"/>
      <c r="I48" s="241"/>
      <c r="J48" s="278"/>
      <c r="K48" s="278"/>
      <c r="L48" s="382" t="s">
        <v>312</v>
      </c>
      <c r="M48" s="279"/>
      <c r="N48" s="279"/>
      <c r="O48" s="241" t="s">
        <v>72</v>
      </c>
    </row>
    <row r="49" spans="1:15" ht="24" customHeight="1">
      <c r="A49" s="247">
        <v>14</v>
      </c>
      <c r="B49" s="248" t="s">
        <v>94</v>
      </c>
      <c r="C49" s="248" t="s">
        <v>94</v>
      </c>
      <c r="D49" s="258" t="s">
        <v>304</v>
      </c>
      <c r="E49" s="247" t="s">
        <v>176</v>
      </c>
      <c r="F49" s="247" t="s">
        <v>35</v>
      </c>
      <c r="G49" s="247" t="s">
        <v>108</v>
      </c>
      <c r="H49" s="258" t="s">
        <v>304</v>
      </c>
      <c r="I49" s="247" t="s">
        <v>176</v>
      </c>
      <c r="J49" s="247" t="s">
        <v>35</v>
      </c>
      <c r="K49" s="247" t="s">
        <v>108</v>
      </c>
      <c r="L49" s="251">
        <f>((8750+40900)/2)*12</f>
        <v>297900</v>
      </c>
      <c r="M49" s="386">
        <v>0</v>
      </c>
      <c r="N49" s="252">
        <v>0</v>
      </c>
      <c r="O49" s="267">
        <f>+L49+M49</f>
        <v>297900</v>
      </c>
    </row>
    <row r="50" spans="1:15" ht="24" customHeight="1">
      <c r="A50" s="268"/>
      <c r="B50" s="243"/>
      <c r="C50" s="243"/>
      <c r="D50" s="271"/>
      <c r="E50" s="268" t="s">
        <v>110</v>
      </c>
      <c r="F50" s="268"/>
      <c r="G50" s="268" t="s">
        <v>109</v>
      </c>
      <c r="H50" s="271"/>
      <c r="I50" s="268" t="s">
        <v>110</v>
      </c>
      <c r="J50" s="268"/>
      <c r="K50" s="268" t="s">
        <v>109</v>
      </c>
      <c r="L50" s="389" t="s">
        <v>314</v>
      </c>
      <c r="M50" s="390"/>
      <c r="N50" s="268"/>
      <c r="O50" s="268" t="s">
        <v>173</v>
      </c>
    </row>
    <row r="51" spans="1:15" ht="24" customHeight="1">
      <c r="A51" s="224">
        <v>15</v>
      </c>
      <c r="B51" s="225" t="s">
        <v>111</v>
      </c>
      <c r="C51" s="226" t="s">
        <v>86</v>
      </c>
      <c r="D51" s="224" t="s">
        <v>0</v>
      </c>
      <c r="E51" s="224" t="s">
        <v>306</v>
      </c>
      <c r="F51" s="224" t="s">
        <v>112</v>
      </c>
      <c r="G51" s="224" t="s">
        <v>0</v>
      </c>
      <c r="H51" s="224" t="s">
        <v>0</v>
      </c>
      <c r="I51" s="224" t="s">
        <v>306</v>
      </c>
      <c r="J51" s="224" t="s">
        <v>112</v>
      </c>
      <c r="K51" s="224" t="s">
        <v>0</v>
      </c>
      <c r="L51" s="276">
        <f>18790*12</f>
        <v>225480</v>
      </c>
      <c r="M51" s="230">
        <v>0</v>
      </c>
      <c r="N51" s="230">
        <v>0</v>
      </c>
      <c r="O51" s="231">
        <f>+L51+M51+N51</f>
        <v>225480</v>
      </c>
    </row>
    <row r="52" spans="1:15" ht="24" customHeight="1">
      <c r="A52" s="241"/>
      <c r="B52" s="242"/>
      <c r="C52" s="254" t="s">
        <v>113</v>
      </c>
      <c r="D52" s="241"/>
      <c r="E52" s="256"/>
      <c r="F52" s="241" t="s">
        <v>114</v>
      </c>
      <c r="G52" s="241"/>
      <c r="H52" s="241"/>
      <c r="I52" s="256"/>
      <c r="J52" s="241" t="s">
        <v>114</v>
      </c>
      <c r="K52" s="241"/>
      <c r="L52" s="382" t="s">
        <v>315</v>
      </c>
      <c r="M52" s="246"/>
      <c r="N52" s="246"/>
      <c r="O52" s="241"/>
    </row>
    <row r="53" spans="1:15" ht="24" customHeight="1">
      <c r="A53" s="247">
        <v>16</v>
      </c>
      <c r="B53" s="257" t="s">
        <v>122</v>
      </c>
      <c r="C53" s="248" t="s">
        <v>99</v>
      </c>
      <c r="D53" s="247" t="s">
        <v>0</v>
      </c>
      <c r="E53" s="248" t="s">
        <v>182</v>
      </c>
      <c r="F53" s="247" t="s">
        <v>124</v>
      </c>
      <c r="G53" s="247" t="s">
        <v>0</v>
      </c>
      <c r="H53" s="247" t="s">
        <v>0</v>
      </c>
      <c r="I53" s="248" t="s">
        <v>182</v>
      </c>
      <c r="J53" s="247" t="s">
        <v>124</v>
      </c>
      <c r="K53" s="247" t="s">
        <v>0</v>
      </c>
      <c r="L53" s="284">
        <f>9690*12</f>
        <v>116280</v>
      </c>
      <c r="M53" s="252">
        <v>0</v>
      </c>
      <c r="N53" s="252">
        <v>0</v>
      </c>
      <c r="O53" s="253">
        <f>+L53+M53+N53</f>
        <v>116280</v>
      </c>
    </row>
    <row r="54" spans="1:15" ht="24" customHeight="1">
      <c r="A54" s="241"/>
      <c r="B54" s="242"/>
      <c r="C54" s="254"/>
      <c r="D54" s="241"/>
      <c r="E54" s="254"/>
      <c r="F54" s="241" t="s">
        <v>125</v>
      </c>
      <c r="G54" s="241"/>
      <c r="H54" s="241"/>
      <c r="I54" s="254"/>
      <c r="J54" s="241" t="s">
        <v>125</v>
      </c>
      <c r="K54" s="241"/>
      <c r="L54" s="382" t="s">
        <v>316</v>
      </c>
      <c r="M54" s="246"/>
      <c r="N54" s="246"/>
      <c r="O54" s="241"/>
    </row>
    <row r="55" spans="1:15" ht="24" customHeight="1">
      <c r="A55" s="247">
        <v>17</v>
      </c>
      <c r="B55" s="257" t="s">
        <v>126</v>
      </c>
      <c r="C55" s="248" t="s">
        <v>127</v>
      </c>
      <c r="D55" s="247" t="s">
        <v>0</v>
      </c>
      <c r="E55" s="248" t="s">
        <v>182</v>
      </c>
      <c r="F55" s="247" t="s">
        <v>124</v>
      </c>
      <c r="G55" s="247" t="s">
        <v>0</v>
      </c>
      <c r="H55" s="247" t="s">
        <v>0</v>
      </c>
      <c r="I55" s="248" t="s">
        <v>182</v>
      </c>
      <c r="J55" s="247" t="s">
        <v>124</v>
      </c>
      <c r="K55" s="247" t="s">
        <v>0</v>
      </c>
      <c r="L55" s="267">
        <f>10590*12</f>
        <v>127080</v>
      </c>
      <c r="M55" s="252">
        <v>0</v>
      </c>
      <c r="N55" s="252">
        <v>0</v>
      </c>
      <c r="O55" s="253">
        <f>+L55+M55+N55</f>
        <v>127080</v>
      </c>
    </row>
    <row r="56" spans="1:15" ht="24" customHeight="1">
      <c r="A56" s="241"/>
      <c r="B56" s="242"/>
      <c r="C56" s="254"/>
      <c r="D56" s="241"/>
      <c r="E56" s="254"/>
      <c r="F56" s="241" t="s">
        <v>125</v>
      </c>
      <c r="G56" s="241"/>
      <c r="H56" s="241"/>
      <c r="I56" s="254"/>
      <c r="J56" s="241" t="s">
        <v>125</v>
      </c>
      <c r="K56" s="241"/>
      <c r="L56" s="382" t="s">
        <v>317</v>
      </c>
      <c r="M56" s="246"/>
      <c r="N56" s="246"/>
      <c r="O56" s="241"/>
    </row>
    <row r="57" spans="1:15" ht="24" customHeight="1">
      <c r="A57" s="224">
        <v>18</v>
      </c>
      <c r="B57" s="225" t="s">
        <v>128</v>
      </c>
      <c r="C57" s="226" t="s">
        <v>129</v>
      </c>
      <c r="D57" s="224" t="s">
        <v>0</v>
      </c>
      <c r="E57" s="226" t="s">
        <v>130</v>
      </c>
      <c r="F57" s="247" t="s">
        <v>124</v>
      </c>
      <c r="G57" s="224" t="s">
        <v>0</v>
      </c>
      <c r="H57" s="224" t="s">
        <v>0</v>
      </c>
      <c r="I57" s="226" t="s">
        <v>130</v>
      </c>
      <c r="J57" s="247" t="s">
        <v>124</v>
      </c>
      <c r="K57" s="224" t="s">
        <v>0</v>
      </c>
      <c r="L57" s="285">
        <f>11520*12</f>
        <v>138240</v>
      </c>
      <c r="M57" s="252">
        <v>0</v>
      </c>
      <c r="N57" s="252">
        <v>0</v>
      </c>
      <c r="O57" s="253">
        <f>+L57+M57+N57</f>
        <v>138240</v>
      </c>
    </row>
    <row r="58" spans="1:15" ht="24" customHeight="1">
      <c r="A58" s="286"/>
      <c r="B58" s="287"/>
      <c r="C58" s="288"/>
      <c r="D58" s="286"/>
      <c r="E58" s="288"/>
      <c r="F58" s="286" t="s">
        <v>125</v>
      </c>
      <c r="G58" s="286"/>
      <c r="H58" s="286"/>
      <c r="I58" s="288"/>
      <c r="J58" s="286" t="s">
        <v>125</v>
      </c>
      <c r="K58" s="286"/>
      <c r="L58" s="382" t="s">
        <v>131</v>
      </c>
      <c r="M58" s="246"/>
      <c r="N58" s="246"/>
      <c r="O58" s="241"/>
    </row>
    <row r="59" spans="1:15" ht="24" customHeight="1">
      <c r="A59" s="247">
        <v>19</v>
      </c>
      <c r="B59" s="257" t="s">
        <v>132</v>
      </c>
      <c r="C59" s="248" t="s">
        <v>99</v>
      </c>
      <c r="D59" s="247" t="s">
        <v>0</v>
      </c>
      <c r="E59" s="248" t="s">
        <v>133</v>
      </c>
      <c r="F59" s="247" t="s">
        <v>124</v>
      </c>
      <c r="G59" s="247" t="s">
        <v>0</v>
      </c>
      <c r="H59" s="247" t="s">
        <v>0</v>
      </c>
      <c r="I59" s="248" t="s">
        <v>133</v>
      </c>
      <c r="J59" s="247" t="s">
        <v>124</v>
      </c>
      <c r="K59" s="247" t="s">
        <v>0</v>
      </c>
      <c r="L59" s="267">
        <f>11750*12</f>
        <v>141000</v>
      </c>
      <c r="M59" s="252">
        <v>0</v>
      </c>
      <c r="N59" s="252">
        <v>0</v>
      </c>
      <c r="O59" s="253">
        <f>+L59+M59+N59</f>
        <v>141000</v>
      </c>
    </row>
    <row r="60" spans="1:15" ht="24" customHeight="1">
      <c r="A60" s="241"/>
      <c r="B60" s="242"/>
      <c r="C60" s="254"/>
      <c r="D60" s="241"/>
      <c r="E60" s="254"/>
      <c r="F60" s="241" t="s">
        <v>125</v>
      </c>
      <c r="G60" s="241"/>
      <c r="H60" s="241"/>
      <c r="I60" s="254"/>
      <c r="J60" s="241" t="s">
        <v>125</v>
      </c>
      <c r="K60" s="241"/>
      <c r="L60" s="382" t="s">
        <v>318</v>
      </c>
      <c r="M60" s="246"/>
      <c r="N60" s="246"/>
      <c r="O60" s="241" t="s">
        <v>72</v>
      </c>
    </row>
    <row r="61" spans="1:15" ht="24" customHeight="1">
      <c r="A61" s="247">
        <v>20</v>
      </c>
      <c r="B61" s="257" t="s">
        <v>134</v>
      </c>
      <c r="C61" s="248" t="s">
        <v>99</v>
      </c>
      <c r="D61" s="247" t="s">
        <v>0</v>
      </c>
      <c r="E61" s="248" t="s">
        <v>133</v>
      </c>
      <c r="F61" s="247" t="s">
        <v>124</v>
      </c>
      <c r="G61" s="247" t="s">
        <v>0</v>
      </c>
      <c r="H61" s="247" t="s">
        <v>0</v>
      </c>
      <c r="I61" s="248" t="s">
        <v>133</v>
      </c>
      <c r="J61" s="247" t="s">
        <v>124</v>
      </c>
      <c r="K61" s="247" t="s">
        <v>0</v>
      </c>
      <c r="L61" s="267">
        <f>11520*12</f>
        <v>138240</v>
      </c>
      <c r="M61" s="252">
        <v>0</v>
      </c>
      <c r="N61" s="252">
        <v>0</v>
      </c>
      <c r="O61" s="253">
        <f>+L61+M61+N61</f>
        <v>138240</v>
      </c>
    </row>
    <row r="62" spans="1:15" ht="24" customHeight="1">
      <c r="A62" s="241"/>
      <c r="B62" s="242"/>
      <c r="C62" s="254"/>
      <c r="D62" s="241"/>
      <c r="E62" s="254"/>
      <c r="F62" s="241" t="s">
        <v>125</v>
      </c>
      <c r="G62" s="241"/>
      <c r="H62" s="241"/>
      <c r="I62" s="254"/>
      <c r="J62" s="241" t="s">
        <v>125</v>
      </c>
      <c r="K62" s="241"/>
      <c r="L62" s="382" t="s">
        <v>320</v>
      </c>
      <c r="M62" s="246"/>
      <c r="N62" s="246"/>
      <c r="O62" s="241" t="s">
        <v>72</v>
      </c>
    </row>
    <row r="63" spans="1:15" ht="24" customHeight="1">
      <c r="A63" s="247">
        <v>21</v>
      </c>
      <c r="B63" s="257" t="s">
        <v>135</v>
      </c>
      <c r="C63" s="248" t="s">
        <v>99</v>
      </c>
      <c r="D63" s="247" t="s">
        <v>0</v>
      </c>
      <c r="E63" s="248" t="s">
        <v>133</v>
      </c>
      <c r="F63" s="247" t="s">
        <v>124</v>
      </c>
      <c r="G63" s="247" t="s">
        <v>0</v>
      </c>
      <c r="H63" s="247" t="s">
        <v>0</v>
      </c>
      <c r="I63" s="248" t="s">
        <v>133</v>
      </c>
      <c r="J63" s="247" t="s">
        <v>124</v>
      </c>
      <c r="K63" s="247" t="s">
        <v>0</v>
      </c>
      <c r="L63" s="267">
        <f>11250*12</f>
        <v>135000</v>
      </c>
      <c r="M63" s="252">
        <v>0</v>
      </c>
      <c r="N63" s="252">
        <v>0</v>
      </c>
      <c r="O63" s="253">
        <f>+L63+M63+N63</f>
        <v>135000</v>
      </c>
    </row>
    <row r="64" spans="1:15" ht="24" customHeight="1">
      <c r="A64" s="241"/>
      <c r="B64" s="242"/>
      <c r="C64" s="254"/>
      <c r="D64" s="241"/>
      <c r="E64" s="254"/>
      <c r="F64" s="241" t="s">
        <v>125</v>
      </c>
      <c r="G64" s="241"/>
      <c r="H64" s="241"/>
      <c r="I64" s="254"/>
      <c r="J64" s="241" t="s">
        <v>125</v>
      </c>
      <c r="K64" s="241"/>
      <c r="L64" s="382" t="s">
        <v>321</v>
      </c>
      <c r="M64" s="246"/>
      <c r="N64" s="246"/>
      <c r="O64" s="241" t="s">
        <v>72</v>
      </c>
    </row>
    <row r="65" spans="1:15" ht="24" customHeight="1">
      <c r="A65" s="247">
        <v>22</v>
      </c>
      <c r="B65" s="257" t="s">
        <v>136</v>
      </c>
      <c r="C65" s="248" t="s">
        <v>99</v>
      </c>
      <c r="D65" s="247" t="s">
        <v>0</v>
      </c>
      <c r="E65" s="248" t="s">
        <v>133</v>
      </c>
      <c r="F65" s="247" t="s">
        <v>124</v>
      </c>
      <c r="G65" s="247" t="s">
        <v>0</v>
      </c>
      <c r="H65" s="247" t="s">
        <v>0</v>
      </c>
      <c r="I65" s="248" t="s">
        <v>133</v>
      </c>
      <c r="J65" s="247" t="s">
        <v>124</v>
      </c>
      <c r="K65" s="247" t="s">
        <v>0</v>
      </c>
      <c r="L65" s="267">
        <f>11140*12</f>
        <v>133680</v>
      </c>
      <c r="M65" s="252">
        <v>0</v>
      </c>
      <c r="N65" s="252">
        <v>0</v>
      </c>
      <c r="O65" s="253">
        <f>+L65+M65+N65</f>
        <v>133680</v>
      </c>
    </row>
    <row r="66" spans="1:15" ht="24" customHeight="1">
      <c r="A66" s="241"/>
      <c r="B66" s="242"/>
      <c r="C66" s="254"/>
      <c r="D66" s="241"/>
      <c r="E66" s="254"/>
      <c r="F66" s="241" t="s">
        <v>125</v>
      </c>
      <c r="G66" s="241"/>
      <c r="H66" s="241"/>
      <c r="I66" s="254"/>
      <c r="J66" s="241" t="s">
        <v>125</v>
      </c>
      <c r="K66" s="241"/>
      <c r="L66" s="382" t="s">
        <v>322</v>
      </c>
      <c r="M66" s="246"/>
      <c r="N66" s="246"/>
      <c r="O66" s="241" t="s">
        <v>72</v>
      </c>
    </row>
    <row r="67" spans="1:15" ht="24" customHeight="1">
      <c r="A67" s="247">
        <v>23</v>
      </c>
      <c r="B67" s="257" t="s">
        <v>137</v>
      </c>
      <c r="C67" s="248" t="s">
        <v>99</v>
      </c>
      <c r="D67" s="247" t="s">
        <v>0</v>
      </c>
      <c r="E67" s="248" t="s">
        <v>133</v>
      </c>
      <c r="F67" s="247" t="s">
        <v>124</v>
      </c>
      <c r="G67" s="247" t="s">
        <v>0</v>
      </c>
      <c r="H67" s="247" t="s">
        <v>0</v>
      </c>
      <c r="I67" s="248" t="s">
        <v>133</v>
      </c>
      <c r="J67" s="247" t="s">
        <v>124</v>
      </c>
      <c r="K67" s="247" t="s">
        <v>0</v>
      </c>
      <c r="L67" s="267">
        <f>11360*12</f>
        <v>136320</v>
      </c>
      <c r="M67" s="252">
        <v>0</v>
      </c>
      <c r="N67" s="252">
        <v>0</v>
      </c>
      <c r="O67" s="253">
        <f>+L67+M67+N67</f>
        <v>136320</v>
      </c>
    </row>
    <row r="68" spans="1:15" ht="24" customHeight="1">
      <c r="A68" s="241"/>
      <c r="B68" s="242"/>
      <c r="C68" s="254"/>
      <c r="D68" s="241"/>
      <c r="E68" s="254"/>
      <c r="F68" s="241" t="s">
        <v>125</v>
      </c>
      <c r="G68" s="241"/>
      <c r="H68" s="241"/>
      <c r="I68" s="254"/>
      <c r="J68" s="241" t="s">
        <v>125</v>
      </c>
      <c r="K68" s="241"/>
      <c r="L68" s="382" t="s">
        <v>323</v>
      </c>
      <c r="M68" s="246"/>
      <c r="N68" s="246"/>
      <c r="O68" s="241" t="s">
        <v>72</v>
      </c>
    </row>
    <row r="69" spans="1:15" ht="24" customHeight="1">
      <c r="A69" s="247">
        <v>24</v>
      </c>
      <c r="B69" s="248" t="s">
        <v>94</v>
      </c>
      <c r="C69" s="248" t="s">
        <v>95</v>
      </c>
      <c r="D69" s="247" t="s">
        <v>0</v>
      </c>
      <c r="E69" s="248" t="s">
        <v>133</v>
      </c>
      <c r="F69" s="247" t="s">
        <v>124</v>
      </c>
      <c r="G69" s="247" t="s">
        <v>0</v>
      </c>
      <c r="H69" s="247" t="s">
        <v>0</v>
      </c>
      <c r="I69" s="248" t="s">
        <v>133</v>
      </c>
      <c r="J69" s="247" t="s">
        <v>124</v>
      </c>
      <c r="K69" s="247" t="s">
        <v>0</v>
      </c>
      <c r="L69" s="252">
        <v>0</v>
      </c>
      <c r="M69" s="252">
        <v>0</v>
      </c>
      <c r="N69" s="252">
        <v>0</v>
      </c>
      <c r="O69" s="253" t="s">
        <v>173</v>
      </c>
    </row>
    <row r="70" spans="1:15" ht="24" customHeight="1">
      <c r="A70" s="241"/>
      <c r="B70" s="254"/>
      <c r="C70" s="254"/>
      <c r="D70" s="241"/>
      <c r="E70" s="254"/>
      <c r="F70" s="241" t="s">
        <v>125</v>
      </c>
      <c r="G70" s="241"/>
      <c r="H70" s="241"/>
      <c r="I70" s="254"/>
      <c r="J70" s="241" t="s">
        <v>125</v>
      </c>
      <c r="K70" s="241"/>
      <c r="L70" s="246"/>
      <c r="M70" s="246"/>
      <c r="N70" s="246"/>
      <c r="O70" s="241" t="s">
        <v>72</v>
      </c>
    </row>
    <row r="71" spans="1:15" ht="24" customHeight="1">
      <c r="A71" s="247">
        <v>25</v>
      </c>
      <c r="B71" s="257" t="s">
        <v>138</v>
      </c>
      <c r="C71" s="248" t="s">
        <v>129</v>
      </c>
      <c r="D71" s="247" t="s">
        <v>0</v>
      </c>
      <c r="E71" s="248" t="s">
        <v>139</v>
      </c>
      <c r="F71" s="247" t="s">
        <v>124</v>
      </c>
      <c r="G71" s="247" t="s">
        <v>0</v>
      </c>
      <c r="H71" s="247" t="s">
        <v>0</v>
      </c>
      <c r="I71" s="248" t="s">
        <v>139</v>
      </c>
      <c r="J71" s="247" t="s">
        <v>124</v>
      </c>
      <c r="K71" s="247" t="s">
        <v>0</v>
      </c>
      <c r="L71" s="267">
        <f>9000*12</f>
        <v>108000</v>
      </c>
      <c r="M71" s="252">
        <v>0</v>
      </c>
      <c r="N71" s="252">
        <v>0</v>
      </c>
      <c r="O71" s="253">
        <f>+L71+M71+N71</f>
        <v>108000</v>
      </c>
    </row>
    <row r="72" spans="1:15" ht="24" customHeight="1">
      <c r="A72" s="241"/>
      <c r="B72" s="242"/>
      <c r="C72" s="254"/>
      <c r="D72" s="241"/>
      <c r="E72" s="254"/>
      <c r="F72" s="241" t="s">
        <v>35</v>
      </c>
      <c r="G72" s="241"/>
      <c r="H72" s="241"/>
      <c r="I72" s="254"/>
      <c r="J72" s="241" t="s">
        <v>35</v>
      </c>
      <c r="K72" s="241"/>
      <c r="L72" s="382" t="s">
        <v>140</v>
      </c>
      <c r="M72" s="246"/>
      <c r="N72" s="246"/>
      <c r="O72" s="246"/>
    </row>
    <row r="73" spans="1:15" ht="24" customHeight="1">
      <c r="A73" s="247">
        <v>26</v>
      </c>
      <c r="B73" s="257" t="s">
        <v>141</v>
      </c>
      <c r="C73" s="248" t="s">
        <v>129</v>
      </c>
      <c r="D73" s="247" t="s">
        <v>0</v>
      </c>
      <c r="E73" s="248" t="s">
        <v>142</v>
      </c>
      <c r="F73" s="247" t="s">
        <v>124</v>
      </c>
      <c r="G73" s="247" t="s">
        <v>0</v>
      </c>
      <c r="H73" s="247" t="s">
        <v>0</v>
      </c>
      <c r="I73" s="248" t="s">
        <v>142</v>
      </c>
      <c r="J73" s="247" t="s">
        <v>124</v>
      </c>
      <c r="K73" s="247" t="s">
        <v>0</v>
      </c>
      <c r="L73" s="267">
        <f>9000*12</f>
        <v>108000</v>
      </c>
      <c r="M73" s="252">
        <v>0</v>
      </c>
      <c r="N73" s="252">
        <v>0</v>
      </c>
      <c r="O73" s="253">
        <f>+L73+M73+N73</f>
        <v>108000</v>
      </c>
    </row>
    <row r="74" spans="1:15" ht="24" customHeight="1">
      <c r="A74" s="241"/>
      <c r="B74" s="242"/>
      <c r="C74" s="254"/>
      <c r="D74" s="241"/>
      <c r="E74" s="254"/>
      <c r="F74" s="241" t="s">
        <v>35</v>
      </c>
      <c r="G74" s="241"/>
      <c r="H74" s="241"/>
      <c r="I74" s="254"/>
      <c r="J74" s="241" t="s">
        <v>35</v>
      </c>
      <c r="K74" s="241"/>
      <c r="L74" s="382" t="s">
        <v>140</v>
      </c>
      <c r="M74" s="246"/>
      <c r="N74" s="246"/>
      <c r="O74" s="241"/>
    </row>
    <row r="75" spans="1:15" ht="24" customHeight="1">
      <c r="A75" s="290">
        <v>27</v>
      </c>
      <c r="B75" s="291" t="s">
        <v>143</v>
      </c>
      <c r="C75" s="292" t="s">
        <v>144</v>
      </c>
      <c r="D75" s="290" t="s">
        <v>0</v>
      </c>
      <c r="E75" s="292" t="s">
        <v>142</v>
      </c>
      <c r="F75" s="247" t="s">
        <v>124</v>
      </c>
      <c r="G75" s="247" t="s">
        <v>0</v>
      </c>
      <c r="H75" s="290" t="s">
        <v>0</v>
      </c>
      <c r="I75" s="292" t="s">
        <v>142</v>
      </c>
      <c r="J75" s="247" t="s">
        <v>124</v>
      </c>
      <c r="K75" s="247" t="s">
        <v>0</v>
      </c>
      <c r="L75" s="267">
        <f>9000*12</f>
        <v>108000</v>
      </c>
      <c r="M75" s="252">
        <v>0</v>
      </c>
      <c r="N75" s="252">
        <v>0</v>
      </c>
      <c r="O75" s="253">
        <f>+L75+M75+N75</f>
        <v>108000</v>
      </c>
    </row>
    <row r="76" spans="1:15" ht="24" customHeight="1">
      <c r="A76" s="241"/>
      <c r="B76" s="242"/>
      <c r="C76" s="254"/>
      <c r="D76" s="241"/>
      <c r="E76" s="254"/>
      <c r="F76" s="241" t="s">
        <v>35</v>
      </c>
      <c r="G76" s="241"/>
      <c r="H76" s="241"/>
      <c r="I76" s="254"/>
      <c r="J76" s="241" t="s">
        <v>35</v>
      </c>
      <c r="K76" s="241"/>
      <c r="L76" s="382" t="s">
        <v>140</v>
      </c>
      <c r="M76" s="246"/>
      <c r="N76" s="246"/>
      <c r="O76" s="241"/>
    </row>
    <row r="77" spans="1:15" ht="24" customHeight="1">
      <c r="A77" s="262"/>
      <c r="B77" s="280"/>
      <c r="C77" s="281"/>
      <c r="D77" s="262"/>
      <c r="E77" s="281"/>
      <c r="F77" s="262"/>
      <c r="G77" s="262"/>
      <c r="H77" s="262"/>
      <c r="I77" s="281"/>
      <c r="J77" s="262"/>
      <c r="K77" s="262"/>
      <c r="L77" s="283"/>
      <c r="M77" s="282"/>
      <c r="N77" s="282"/>
      <c r="O77" s="262"/>
    </row>
    <row r="78" spans="1:15" ht="24" customHeight="1">
      <c r="A78" s="262"/>
      <c r="B78" s="280"/>
      <c r="C78" s="281"/>
      <c r="D78" s="262"/>
      <c r="E78" s="281"/>
      <c r="F78" s="262"/>
      <c r="G78" s="262"/>
      <c r="H78" s="262"/>
      <c r="I78" s="281"/>
      <c r="J78" s="262"/>
      <c r="K78" s="262"/>
      <c r="L78" s="283"/>
      <c r="M78" s="282"/>
      <c r="N78" s="282"/>
      <c r="O78" s="262"/>
    </row>
    <row r="79" spans="1:15" ht="24" customHeight="1">
      <c r="A79" s="262"/>
      <c r="B79" s="280"/>
      <c r="C79" s="281"/>
      <c r="D79" s="262"/>
      <c r="E79" s="281"/>
      <c r="F79" s="262"/>
      <c r="G79" s="262"/>
      <c r="H79" s="262"/>
      <c r="I79" s="281"/>
      <c r="J79" s="262"/>
      <c r="K79" s="262"/>
      <c r="L79" s="283"/>
      <c r="M79" s="282"/>
      <c r="N79" s="282"/>
      <c r="O79" s="262"/>
    </row>
    <row r="80" spans="1:15" ht="24" customHeight="1">
      <c r="A80" s="262"/>
      <c r="B80" s="280"/>
      <c r="C80" s="281"/>
      <c r="D80" s="262"/>
      <c r="E80" s="281"/>
      <c r="F80" s="262"/>
      <c r="G80" s="262"/>
      <c r="H80" s="262"/>
      <c r="I80" s="281"/>
      <c r="J80" s="262"/>
      <c r="K80" s="262"/>
      <c r="L80" s="283"/>
      <c r="M80" s="282"/>
      <c r="N80" s="282"/>
      <c r="O80" s="262"/>
    </row>
    <row r="81" spans="1:15" s="293" customFormat="1" ht="24" customHeight="1">
      <c r="A81" s="209"/>
      <c r="B81" s="210"/>
      <c r="C81" s="210"/>
      <c r="D81" s="335" t="s">
        <v>167</v>
      </c>
      <c r="E81" s="336"/>
      <c r="F81" s="336"/>
      <c r="G81" s="337"/>
      <c r="H81" s="335" t="s">
        <v>167</v>
      </c>
      <c r="I81" s="336"/>
      <c r="J81" s="336"/>
      <c r="K81" s="337"/>
      <c r="L81" s="335" t="s">
        <v>169</v>
      </c>
      <c r="M81" s="336"/>
      <c r="N81" s="337"/>
      <c r="O81" s="211" t="s">
        <v>80</v>
      </c>
    </row>
    <row r="82" spans="1:15" s="293" customFormat="1" ht="24" customHeight="1">
      <c r="A82" s="212" t="s">
        <v>3</v>
      </c>
      <c r="B82" s="213" t="s">
        <v>163</v>
      </c>
      <c r="C82" s="213" t="s">
        <v>164</v>
      </c>
      <c r="D82" s="211" t="s">
        <v>168</v>
      </c>
      <c r="E82" s="214" t="s">
        <v>12</v>
      </c>
      <c r="F82" s="211" t="s">
        <v>17</v>
      </c>
      <c r="G82" s="211" t="s">
        <v>8</v>
      </c>
      <c r="H82" s="211" t="s">
        <v>168</v>
      </c>
      <c r="I82" s="214" t="s">
        <v>12</v>
      </c>
      <c r="J82" s="211" t="s">
        <v>17</v>
      </c>
      <c r="K82" s="211" t="s">
        <v>8</v>
      </c>
      <c r="L82" s="211" t="s">
        <v>14</v>
      </c>
      <c r="M82" s="211" t="s">
        <v>81</v>
      </c>
      <c r="N82" s="380" t="s">
        <v>82</v>
      </c>
      <c r="O82" s="215" t="s">
        <v>83</v>
      </c>
    </row>
    <row r="83" spans="1:15" s="293" customFormat="1" ht="24" customHeight="1">
      <c r="A83" s="216"/>
      <c r="B83" s="217"/>
      <c r="C83" s="217" t="s">
        <v>165</v>
      </c>
      <c r="D83" s="218"/>
      <c r="E83" s="219"/>
      <c r="F83" s="217"/>
      <c r="G83" s="218"/>
      <c r="H83" s="218"/>
      <c r="I83" s="219"/>
      <c r="J83" s="217"/>
      <c r="K83" s="218"/>
      <c r="L83" s="217"/>
      <c r="M83" s="217" t="s">
        <v>12</v>
      </c>
      <c r="N83" s="381" t="s">
        <v>84</v>
      </c>
      <c r="O83" s="220"/>
    </row>
    <row r="84" spans="1:15" ht="24" customHeight="1">
      <c r="A84" s="392"/>
      <c r="B84" s="393" t="s">
        <v>341</v>
      </c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5"/>
    </row>
    <row r="85" spans="1:15" ht="24" customHeight="1">
      <c r="A85" s="227">
        <v>28</v>
      </c>
      <c r="B85" s="238" t="s">
        <v>308</v>
      </c>
      <c r="C85" s="240" t="s">
        <v>99</v>
      </c>
      <c r="D85" s="227" t="s">
        <v>327</v>
      </c>
      <c r="E85" s="239" t="s">
        <v>55</v>
      </c>
      <c r="F85" s="227" t="s">
        <v>92</v>
      </c>
      <c r="G85" s="227" t="s">
        <v>19</v>
      </c>
      <c r="H85" s="227" t="s">
        <v>327</v>
      </c>
      <c r="I85" s="239" t="s">
        <v>55</v>
      </c>
      <c r="J85" s="227" t="s">
        <v>92</v>
      </c>
      <c r="K85" s="227" t="s">
        <v>19</v>
      </c>
      <c r="L85" s="230">
        <f>(28560*12)</f>
        <v>342720</v>
      </c>
      <c r="M85" s="230">
        <v>42000</v>
      </c>
      <c r="N85" s="230">
        <v>0</v>
      </c>
      <c r="O85" s="294">
        <f>+L85+M85+N85</f>
        <v>384720</v>
      </c>
    </row>
    <row r="86" spans="1:15" ht="24" customHeight="1">
      <c r="A86" s="241"/>
      <c r="B86" s="242"/>
      <c r="C86" s="254" t="s">
        <v>145</v>
      </c>
      <c r="D86" s="241"/>
      <c r="E86" s="254" t="s">
        <v>178</v>
      </c>
      <c r="F86" s="241" t="s">
        <v>89</v>
      </c>
      <c r="G86" s="241"/>
      <c r="H86" s="241"/>
      <c r="I86" s="254" t="s">
        <v>178</v>
      </c>
      <c r="J86" s="241" t="s">
        <v>89</v>
      </c>
      <c r="K86" s="241"/>
      <c r="L86" s="382" t="s">
        <v>324</v>
      </c>
      <c r="M86" s="230" t="s">
        <v>293</v>
      </c>
      <c r="N86" s="230"/>
      <c r="O86" s="227"/>
    </row>
    <row r="87" spans="1:15" ht="24" customHeight="1">
      <c r="A87" s="247">
        <v>29</v>
      </c>
      <c r="B87" s="248" t="s">
        <v>0</v>
      </c>
      <c r="C87" s="248" t="s">
        <v>0</v>
      </c>
      <c r="D87" s="247" t="s">
        <v>328</v>
      </c>
      <c r="E87" s="295" t="s">
        <v>150</v>
      </c>
      <c r="F87" s="247" t="s">
        <v>35</v>
      </c>
      <c r="G87" s="247" t="s">
        <v>108</v>
      </c>
      <c r="H87" s="247" t="s">
        <v>328</v>
      </c>
      <c r="I87" s="295" t="s">
        <v>150</v>
      </c>
      <c r="J87" s="247" t="s">
        <v>35</v>
      </c>
      <c r="K87" s="247" t="s">
        <v>108</v>
      </c>
      <c r="L87" s="251">
        <f>((8750+40900)/2)*12</f>
        <v>297900</v>
      </c>
      <c r="M87" s="252">
        <v>0</v>
      </c>
      <c r="N87" s="252">
        <v>0</v>
      </c>
      <c r="O87" s="267">
        <f>+L87+M87</f>
        <v>297900</v>
      </c>
    </row>
    <row r="88" spans="1:15" ht="24" customHeight="1">
      <c r="A88" s="241"/>
      <c r="B88" s="254"/>
      <c r="C88" s="254"/>
      <c r="D88" s="241"/>
      <c r="E88" s="244"/>
      <c r="F88" s="241"/>
      <c r="G88" s="241" t="s">
        <v>109</v>
      </c>
      <c r="H88" s="241"/>
      <c r="I88" s="244"/>
      <c r="J88" s="259"/>
      <c r="K88" s="259" t="s">
        <v>109</v>
      </c>
      <c r="L88" s="341" t="s">
        <v>314</v>
      </c>
      <c r="M88" s="342"/>
      <c r="N88" s="259"/>
      <c r="O88" s="259" t="s">
        <v>173</v>
      </c>
    </row>
    <row r="89" spans="1:15" ht="24" customHeight="1">
      <c r="A89" s="247">
        <v>30</v>
      </c>
      <c r="B89" s="248" t="s">
        <v>0</v>
      </c>
      <c r="C89" s="248" t="s">
        <v>0</v>
      </c>
      <c r="D89" s="247" t="s">
        <v>329</v>
      </c>
      <c r="E89" s="295" t="s">
        <v>325</v>
      </c>
      <c r="F89" s="247" t="s">
        <v>35</v>
      </c>
      <c r="G89" s="247" t="s">
        <v>108</v>
      </c>
      <c r="H89" s="247" t="s">
        <v>329</v>
      </c>
      <c r="I89" s="295" t="s">
        <v>325</v>
      </c>
      <c r="J89" s="247" t="s">
        <v>35</v>
      </c>
      <c r="K89" s="247" t="s">
        <v>108</v>
      </c>
      <c r="L89" s="251">
        <f>((8750+40900)/2)*12</f>
        <v>297900</v>
      </c>
      <c r="M89" s="252">
        <v>0</v>
      </c>
      <c r="N89" s="252">
        <v>0</v>
      </c>
      <c r="O89" s="267">
        <f>+L89+M89</f>
        <v>297900</v>
      </c>
    </row>
    <row r="90" spans="1:15" ht="24" customHeight="1">
      <c r="A90" s="241"/>
      <c r="B90" s="254"/>
      <c r="C90" s="254"/>
      <c r="D90" s="241"/>
      <c r="E90" s="244" t="s">
        <v>326</v>
      </c>
      <c r="F90" s="241"/>
      <c r="G90" s="241" t="s">
        <v>109</v>
      </c>
      <c r="H90" s="241"/>
      <c r="I90" s="244" t="s">
        <v>326</v>
      </c>
      <c r="J90" s="259"/>
      <c r="K90" s="259" t="s">
        <v>109</v>
      </c>
      <c r="L90" s="341" t="s">
        <v>314</v>
      </c>
      <c r="M90" s="342"/>
      <c r="N90" s="259"/>
      <c r="O90" s="259" t="s">
        <v>173</v>
      </c>
    </row>
    <row r="91" spans="1:15" ht="24" customHeight="1">
      <c r="A91" s="247">
        <v>31</v>
      </c>
      <c r="B91" s="248" t="s">
        <v>0</v>
      </c>
      <c r="C91" s="248" t="s">
        <v>0</v>
      </c>
      <c r="D91" s="247" t="s">
        <v>330</v>
      </c>
      <c r="E91" s="295" t="s">
        <v>149</v>
      </c>
      <c r="F91" s="247" t="s">
        <v>35</v>
      </c>
      <c r="G91" s="247" t="s">
        <v>108</v>
      </c>
      <c r="H91" s="247" t="s">
        <v>330</v>
      </c>
      <c r="I91" s="295" t="s">
        <v>149</v>
      </c>
      <c r="J91" s="247" t="s">
        <v>35</v>
      </c>
      <c r="K91" s="247" t="s">
        <v>108</v>
      </c>
      <c r="L91" s="251">
        <f>((8750+40900)/2)*12</f>
        <v>297900</v>
      </c>
      <c r="M91" s="252">
        <v>0</v>
      </c>
      <c r="N91" s="252">
        <v>0</v>
      </c>
      <c r="O91" s="267">
        <f>+L91+M91</f>
        <v>297900</v>
      </c>
    </row>
    <row r="92" spans="1:15" ht="24" customHeight="1">
      <c r="A92" s="241"/>
      <c r="B92" s="254"/>
      <c r="C92" s="254"/>
      <c r="D92" s="241"/>
      <c r="E92" s="244"/>
      <c r="F92" s="241"/>
      <c r="G92" s="241" t="s">
        <v>109</v>
      </c>
      <c r="H92" s="241"/>
      <c r="I92" s="244"/>
      <c r="J92" s="259"/>
      <c r="K92" s="259" t="s">
        <v>109</v>
      </c>
      <c r="L92" s="341" t="s">
        <v>314</v>
      </c>
      <c r="M92" s="342"/>
      <c r="N92" s="259"/>
      <c r="O92" s="259" t="s">
        <v>173</v>
      </c>
    </row>
    <row r="93" spans="1:15" ht="24" customHeight="1">
      <c r="A93" s="247">
        <v>32</v>
      </c>
      <c r="B93" s="376" t="s">
        <v>146</v>
      </c>
      <c r="C93" s="248" t="s">
        <v>147</v>
      </c>
      <c r="D93" s="247" t="s">
        <v>331</v>
      </c>
      <c r="E93" s="295" t="s">
        <v>180</v>
      </c>
      <c r="F93" s="247" t="s">
        <v>35</v>
      </c>
      <c r="G93" s="247" t="s">
        <v>69</v>
      </c>
      <c r="H93" s="247" t="s">
        <v>331</v>
      </c>
      <c r="I93" s="295" t="s">
        <v>180</v>
      </c>
      <c r="J93" s="247" t="s">
        <v>35</v>
      </c>
      <c r="K93" s="247" t="s">
        <v>69</v>
      </c>
      <c r="L93" s="267">
        <f>17690*12</f>
        <v>212280</v>
      </c>
      <c r="M93" s="252">
        <v>0</v>
      </c>
      <c r="N93" s="252">
        <v>0</v>
      </c>
      <c r="O93" s="267">
        <f>+L93+M93</f>
        <v>212280</v>
      </c>
    </row>
    <row r="94" spans="1:15" ht="24" customHeight="1">
      <c r="A94" s="241"/>
      <c r="B94" s="242"/>
      <c r="C94" s="254" t="s">
        <v>148</v>
      </c>
      <c r="D94" s="241"/>
      <c r="E94" s="244"/>
      <c r="F94" s="241"/>
      <c r="G94" s="241"/>
      <c r="H94" s="241"/>
      <c r="I94" s="244"/>
      <c r="J94" s="241"/>
      <c r="K94" s="241"/>
      <c r="L94" s="382" t="s">
        <v>335</v>
      </c>
      <c r="M94" s="246"/>
      <c r="N94" s="246"/>
      <c r="O94" s="241"/>
    </row>
    <row r="95" spans="1:15" ht="24" customHeight="1">
      <c r="A95" s="247">
        <v>33</v>
      </c>
      <c r="B95" s="257" t="s">
        <v>151</v>
      </c>
      <c r="C95" s="248" t="s">
        <v>99</v>
      </c>
      <c r="D95" s="247" t="s">
        <v>0</v>
      </c>
      <c r="E95" s="295" t="s">
        <v>181</v>
      </c>
      <c r="F95" s="247" t="s">
        <v>124</v>
      </c>
      <c r="G95" s="247" t="s">
        <v>0</v>
      </c>
      <c r="H95" s="247" t="s">
        <v>0</v>
      </c>
      <c r="I95" s="295" t="s">
        <v>181</v>
      </c>
      <c r="J95" s="247" t="s">
        <v>124</v>
      </c>
      <c r="K95" s="247" t="s">
        <v>0</v>
      </c>
      <c r="L95" s="267">
        <f>14660*12</f>
        <v>175920</v>
      </c>
      <c r="M95" s="252">
        <v>0</v>
      </c>
      <c r="N95" s="252">
        <v>0</v>
      </c>
      <c r="O95" s="267">
        <f>+L95+M95</f>
        <v>175920</v>
      </c>
    </row>
    <row r="96" spans="1:15" ht="24" customHeight="1">
      <c r="A96" s="241"/>
      <c r="B96" s="242"/>
      <c r="C96" s="254" t="s">
        <v>152</v>
      </c>
      <c r="D96" s="241"/>
      <c r="E96" s="244"/>
      <c r="F96" s="241" t="s">
        <v>125</v>
      </c>
      <c r="G96" s="241"/>
      <c r="H96" s="241"/>
      <c r="I96" s="244"/>
      <c r="J96" s="241" t="s">
        <v>125</v>
      </c>
      <c r="K96" s="241"/>
      <c r="L96" s="382" t="s">
        <v>336</v>
      </c>
      <c r="M96" s="246"/>
      <c r="N96" s="246"/>
      <c r="O96" s="241"/>
    </row>
    <row r="97" spans="1:15" ht="24" customHeight="1">
      <c r="A97" s="247">
        <v>34</v>
      </c>
      <c r="B97" s="257" t="s">
        <v>153</v>
      </c>
      <c r="C97" s="248" t="s">
        <v>154</v>
      </c>
      <c r="D97" s="247" t="s">
        <v>0</v>
      </c>
      <c r="E97" s="295" t="s">
        <v>182</v>
      </c>
      <c r="F97" s="247" t="s">
        <v>124</v>
      </c>
      <c r="G97" s="247" t="s">
        <v>0</v>
      </c>
      <c r="H97" s="247" t="s">
        <v>0</v>
      </c>
      <c r="I97" s="295" t="s">
        <v>182</v>
      </c>
      <c r="J97" s="247" t="s">
        <v>124</v>
      </c>
      <c r="K97" s="247" t="s">
        <v>0</v>
      </c>
      <c r="L97" s="267">
        <f>12940*12</f>
        <v>155280</v>
      </c>
      <c r="M97" s="252">
        <v>0</v>
      </c>
      <c r="N97" s="252">
        <v>0</v>
      </c>
      <c r="O97" s="267">
        <f>+L97+M97</f>
        <v>155280</v>
      </c>
    </row>
    <row r="98" spans="1:15" ht="24" customHeight="1">
      <c r="A98" s="241"/>
      <c r="B98" s="242"/>
      <c r="C98" s="254"/>
      <c r="D98" s="241"/>
      <c r="E98" s="244"/>
      <c r="F98" s="241" t="s">
        <v>125</v>
      </c>
      <c r="G98" s="241"/>
      <c r="H98" s="241"/>
      <c r="I98" s="244"/>
      <c r="J98" s="241" t="s">
        <v>125</v>
      </c>
      <c r="K98" s="241"/>
      <c r="L98" s="382" t="s">
        <v>337</v>
      </c>
      <c r="M98" s="246"/>
      <c r="N98" s="246"/>
      <c r="O98" s="241"/>
    </row>
    <row r="99" spans="1:15" ht="24" customHeight="1">
      <c r="A99" s="391"/>
      <c r="B99" s="393" t="s">
        <v>342</v>
      </c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5"/>
    </row>
    <row r="100" spans="1:17" s="300" customFormat="1" ht="24" customHeight="1">
      <c r="A100" s="296">
        <v>35</v>
      </c>
      <c r="B100" s="297" t="s">
        <v>0</v>
      </c>
      <c r="C100" s="297" t="s">
        <v>0</v>
      </c>
      <c r="D100" s="296" t="s">
        <v>332</v>
      </c>
      <c r="E100" s="298" t="s">
        <v>177</v>
      </c>
      <c r="F100" s="296" t="s">
        <v>92</v>
      </c>
      <c r="G100" s="296" t="s">
        <v>19</v>
      </c>
      <c r="H100" s="296" t="s">
        <v>332</v>
      </c>
      <c r="I100" s="298" t="s">
        <v>177</v>
      </c>
      <c r="J100" s="296" t="s">
        <v>92</v>
      </c>
      <c r="K100" s="296" t="s">
        <v>19</v>
      </c>
      <c r="L100" s="284">
        <f>((15430+50170)/2)*12</f>
        <v>393600</v>
      </c>
      <c r="M100" s="299">
        <f>3500*12</f>
        <v>42000</v>
      </c>
      <c r="N100" s="299">
        <v>0</v>
      </c>
      <c r="O100" s="294">
        <f>+L100+M100+N100</f>
        <v>435600</v>
      </c>
      <c r="Q100" s="301"/>
    </row>
    <row r="101" spans="1:17" s="300" customFormat="1" ht="24" customHeight="1">
      <c r="A101" s="377"/>
      <c r="B101" s="378"/>
      <c r="C101" s="378"/>
      <c r="D101" s="377"/>
      <c r="E101" s="379" t="s">
        <v>179</v>
      </c>
      <c r="F101" s="377" t="s">
        <v>89</v>
      </c>
      <c r="G101" s="377"/>
      <c r="H101" s="377"/>
      <c r="I101" s="379" t="s">
        <v>179</v>
      </c>
      <c r="J101" s="377" t="s">
        <v>89</v>
      </c>
      <c r="K101" s="377"/>
      <c r="L101" s="399" t="s">
        <v>344</v>
      </c>
      <c r="M101" s="230" t="s">
        <v>293</v>
      </c>
      <c r="N101" s="230"/>
      <c r="O101" s="230"/>
      <c r="Q101" s="301"/>
    </row>
    <row r="102" spans="1:15" s="300" customFormat="1" ht="24" customHeight="1">
      <c r="A102" s="302"/>
      <c r="B102" s="303"/>
      <c r="C102" s="303"/>
      <c r="D102" s="302"/>
      <c r="E102" s="303"/>
      <c r="F102" s="302"/>
      <c r="G102" s="302"/>
      <c r="H102" s="302"/>
      <c r="I102" s="303"/>
      <c r="J102" s="302"/>
      <c r="K102" s="302"/>
      <c r="L102" s="300" t="s">
        <v>345</v>
      </c>
      <c r="M102" s="304"/>
      <c r="N102" s="304"/>
      <c r="O102" s="304"/>
    </row>
    <row r="103" spans="1:15" ht="24" customHeight="1">
      <c r="A103" s="247">
        <v>36</v>
      </c>
      <c r="B103" s="257" t="s">
        <v>155</v>
      </c>
      <c r="C103" s="248" t="s">
        <v>99</v>
      </c>
      <c r="D103" s="247" t="s">
        <v>333</v>
      </c>
      <c r="E103" s="295" t="s">
        <v>156</v>
      </c>
      <c r="F103" s="247" t="s">
        <v>35</v>
      </c>
      <c r="G103" s="247" t="s">
        <v>69</v>
      </c>
      <c r="H103" s="247" t="s">
        <v>333</v>
      </c>
      <c r="I103" s="295" t="s">
        <v>156</v>
      </c>
      <c r="J103" s="247" t="s">
        <v>35</v>
      </c>
      <c r="K103" s="247" t="s">
        <v>69</v>
      </c>
      <c r="L103" s="267">
        <f>21620*12</f>
        <v>259440</v>
      </c>
      <c r="M103" s="252">
        <v>0</v>
      </c>
      <c r="N103" s="252">
        <v>0</v>
      </c>
      <c r="O103" s="267">
        <f>+L103+M103</f>
        <v>259440</v>
      </c>
    </row>
    <row r="104" spans="1:15" ht="24" customHeight="1">
      <c r="A104" s="241"/>
      <c r="B104" s="242"/>
      <c r="C104" s="254" t="s">
        <v>157</v>
      </c>
      <c r="D104" s="241"/>
      <c r="E104" s="244"/>
      <c r="F104" s="241"/>
      <c r="G104" s="241"/>
      <c r="H104" s="241"/>
      <c r="I104" s="244"/>
      <c r="J104" s="241"/>
      <c r="K104" s="241"/>
      <c r="L104" s="382" t="s">
        <v>339</v>
      </c>
      <c r="M104" s="246"/>
      <c r="N104" s="246"/>
      <c r="O104" s="241"/>
    </row>
    <row r="105" spans="1:15" ht="24" customHeight="1">
      <c r="A105" s="247">
        <v>37</v>
      </c>
      <c r="B105" s="248" t="s">
        <v>0</v>
      </c>
      <c r="C105" s="248" t="s">
        <v>0</v>
      </c>
      <c r="D105" s="247" t="s">
        <v>334</v>
      </c>
      <c r="E105" s="295" t="s">
        <v>156</v>
      </c>
      <c r="F105" s="247" t="s">
        <v>35</v>
      </c>
      <c r="G105" s="247" t="s">
        <v>108</v>
      </c>
      <c r="H105" s="247" t="s">
        <v>334</v>
      </c>
      <c r="I105" s="295" t="s">
        <v>156</v>
      </c>
      <c r="J105" s="247" t="s">
        <v>35</v>
      </c>
      <c r="K105" s="247" t="s">
        <v>108</v>
      </c>
      <c r="L105" s="251">
        <f>((8750+40900)/2)*12</f>
        <v>297900</v>
      </c>
      <c r="M105" s="252">
        <v>0</v>
      </c>
      <c r="N105" s="252">
        <v>0</v>
      </c>
      <c r="O105" s="267">
        <f>+L105+M105</f>
        <v>297900</v>
      </c>
    </row>
    <row r="106" spans="1:15" ht="24" customHeight="1">
      <c r="A106" s="241"/>
      <c r="B106" s="254"/>
      <c r="C106" s="254"/>
      <c r="D106" s="241"/>
      <c r="E106" s="244"/>
      <c r="F106" s="241"/>
      <c r="G106" s="241" t="s">
        <v>109</v>
      </c>
      <c r="H106" s="241"/>
      <c r="I106" s="244"/>
      <c r="J106" s="259"/>
      <c r="K106" s="259" t="s">
        <v>109</v>
      </c>
      <c r="L106" s="387" t="s">
        <v>314</v>
      </c>
      <c r="M106" s="388"/>
      <c r="N106" s="259"/>
      <c r="O106" s="259" t="s">
        <v>173</v>
      </c>
    </row>
    <row r="107" spans="1:15" ht="24" customHeight="1">
      <c r="A107" s="290">
        <v>38</v>
      </c>
      <c r="B107" s="292" t="s">
        <v>0</v>
      </c>
      <c r="C107" s="292" t="s">
        <v>0</v>
      </c>
      <c r="D107" s="290" t="s">
        <v>0</v>
      </c>
      <c r="E107" s="292" t="s">
        <v>183</v>
      </c>
      <c r="F107" s="247" t="s">
        <v>124</v>
      </c>
      <c r="G107" s="292" t="s">
        <v>0</v>
      </c>
      <c r="H107" s="290" t="s">
        <v>0</v>
      </c>
      <c r="I107" s="292" t="s">
        <v>183</v>
      </c>
      <c r="J107" s="247" t="s">
        <v>124</v>
      </c>
      <c r="K107" s="292" t="s">
        <v>0</v>
      </c>
      <c r="L107" s="229">
        <f>11500*12</f>
        <v>138000</v>
      </c>
      <c r="M107" s="230">
        <v>0</v>
      </c>
      <c r="N107" s="252">
        <v>0</v>
      </c>
      <c r="O107" s="267">
        <f>+L107+M107</f>
        <v>138000</v>
      </c>
    </row>
    <row r="108" spans="1:15" ht="24" customHeight="1">
      <c r="A108" s="241"/>
      <c r="B108" s="254"/>
      <c r="C108" s="254"/>
      <c r="D108" s="241"/>
      <c r="E108" s="254"/>
      <c r="F108" s="241" t="s">
        <v>125</v>
      </c>
      <c r="G108" s="254"/>
      <c r="H108" s="241"/>
      <c r="I108" s="254"/>
      <c r="J108" s="241" t="s">
        <v>125</v>
      </c>
      <c r="K108" s="254"/>
      <c r="L108" s="382" t="s">
        <v>340</v>
      </c>
      <c r="M108" s="246"/>
      <c r="N108" s="246"/>
      <c r="O108" s="259" t="s">
        <v>173</v>
      </c>
    </row>
    <row r="109" spans="1:15" ht="24" customHeight="1">
      <c r="A109" s="290">
        <v>39</v>
      </c>
      <c r="B109" s="291" t="s">
        <v>158</v>
      </c>
      <c r="C109" s="292" t="s">
        <v>127</v>
      </c>
      <c r="D109" s="290" t="s">
        <v>0</v>
      </c>
      <c r="E109" s="292" t="s">
        <v>313</v>
      </c>
      <c r="F109" s="247" t="s">
        <v>124</v>
      </c>
      <c r="G109" s="292" t="s">
        <v>0</v>
      </c>
      <c r="H109" s="290" t="s">
        <v>0</v>
      </c>
      <c r="I109" s="292" t="s">
        <v>313</v>
      </c>
      <c r="J109" s="247" t="s">
        <v>124</v>
      </c>
      <c r="K109" s="292" t="s">
        <v>0</v>
      </c>
      <c r="L109" s="267">
        <f>11140*12</f>
        <v>133680</v>
      </c>
      <c r="M109" s="252">
        <v>0</v>
      </c>
      <c r="N109" s="252">
        <v>0</v>
      </c>
      <c r="O109" s="267">
        <f>+L109+M109</f>
        <v>133680</v>
      </c>
    </row>
    <row r="110" spans="1:15" ht="24" customHeight="1">
      <c r="A110" s="241"/>
      <c r="B110" s="242"/>
      <c r="C110" s="254"/>
      <c r="D110" s="241"/>
      <c r="E110" s="254"/>
      <c r="F110" s="241" t="s">
        <v>125</v>
      </c>
      <c r="G110" s="254"/>
      <c r="H110" s="241"/>
      <c r="I110" s="254"/>
      <c r="J110" s="241" t="s">
        <v>125</v>
      </c>
      <c r="K110" s="254"/>
      <c r="L110" s="382" t="s">
        <v>322</v>
      </c>
      <c r="M110" s="246"/>
      <c r="N110" s="246"/>
      <c r="O110" s="241"/>
    </row>
    <row r="111" spans="1:15" ht="24" customHeight="1">
      <c r="A111" s="305">
        <v>40</v>
      </c>
      <c r="B111" s="291" t="s">
        <v>159</v>
      </c>
      <c r="C111" s="292" t="s">
        <v>154</v>
      </c>
      <c r="D111" s="290" t="s">
        <v>0</v>
      </c>
      <c r="E111" s="248" t="s">
        <v>123</v>
      </c>
      <c r="F111" s="247" t="s">
        <v>124</v>
      </c>
      <c r="G111" s="289" t="s">
        <v>0</v>
      </c>
      <c r="H111" s="290" t="s">
        <v>0</v>
      </c>
      <c r="I111" s="248" t="s">
        <v>123</v>
      </c>
      <c r="J111" s="247" t="s">
        <v>124</v>
      </c>
      <c r="K111" s="289" t="s">
        <v>0</v>
      </c>
      <c r="L111" s="267">
        <f>12940*12</f>
        <v>155280</v>
      </c>
      <c r="M111" s="252">
        <v>0</v>
      </c>
      <c r="N111" s="252">
        <v>0</v>
      </c>
      <c r="O111" s="267">
        <f>+L111+M111</f>
        <v>155280</v>
      </c>
    </row>
    <row r="112" spans="1:15" ht="24" customHeight="1">
      <c r="A112" s="241"/>
      <c r="B112" s="242"/>
      <c r="C112" s="254"/>
      <c r="D112" s="241"/>
      <c r="E112" s="254" t="s">
        <v>150</v>
      </c>
      <c r="F112" s="241" t="s">
        <v>125</v>
      </c>
      <c r="G112" s="246"/>
      <c r="H112" s="241"/>
      <c r="I112" s="254" t="s">
        <v>150</v>
      </c>
      <c r="J112" s="241" t="s">
        <v>125</v>
      </c>
      <c r="K112" s="246"/>
      <c r="L112" s="382" t="s">
        <v>338</v>
      </c>
      <c r="M112" s="246"/>
      <c r="N112" s="246"/>
      <c r="O112" s="241"/>
    </row>
    <row r="113" spans="1:15" ht="24" customHeight="1">
      <c r="A113" s="290">
        <v>41</v>
      </c>
      <c r="B113" s="291" t="s">
        <v>160</v>
      </c>
      <c r="C113" s="292" t="s">
        <v>129</v>
      </c>
      <c r="D113" s="290" t="s">
        <v>0</v>
      </c>
      <c r="E113" s="292" t="s">
        <v>142</v>
      </c>
      <c r="F113" s="247" t="s">
        <v>124</v>
      </c>
      <c r="G113" s="247" t="s">
        <v>0</v>
      </c>
      <c r="H113" s="290" t="s">
        <v>0</v>
      </c>
      <c r="I113" s="292" t="s">
        <v>142</v>
      </c>
      <c r="J113" s="247" t="s">
        <v>124</v>
      </c>
      <c r="K113" s="247" t="s">
        <v>0</v>
      </c>
      <c r="L113" s="267">
        <f>9000*12</f>
        <v>108000</v>
      </c>
      <c r="M113" s="252">
        <v>0</v>
      </c>
      <c r="N113" s="252">
        <v>0</v>
      </c>
      <c r="O113" s="253">
        <f>+L113+M113+N113</f>
        <v>108000</v>
      </c>
    </row>
    <row r="114" spans="1:15" ht="24" customHeight="1">
      <c r="A114" s="241"/>
      <c r="B114" s="242"/>
      <c r="C114" s="254"/>
      <c r="D114" s="241"/>
      <c r="E114" s="254"/>
      <c r="F114" s="241" t="s">
        <v>35</v>
      </c>
      <c r="G114" s="241"/>
      <c r="H114" s="241"/>
      <c r="I114" s="254"/>
      <c r="J114" s="241" t="s">
        <v>35</v>
      </c>
      <c r="K114" s="241"/>
      <c r="L114" s="382" t="s">
        <v>140</v>
      </c>
      <c r="M114" s="246"/>
      <c r="N114" s="246"/>
      <c r="O114" s="241"/>
    </row>
    <row r="115" spans="1:15" ht="24" customHeight="1">
      <c r="A115" s="259">
        <v>42</v>
      </c>
      <c r="B115" s="260" t="s">
        <v>319</v>
      </c>
      <c r="C115" s="261" t="s">
        <v>129</v>
      </c>
      <c r="D115" s="259" t="s">
        <v>0</v>
      </c>
      <c r="E115" s="292" t="s">
        <v>142</v>
      </c>
      <c r="F115" s="247" t="s">
        <v>124</v>
      </c>
      <c r="G115" s="247" t="s">
        <v>0</v>
      </c>
      <c r="H115" s="259" t="s">
        <v>0</v>
      </c>
      <c r="I115" s="292" t="s">
        <v>142</v>
      </c>
      <c r="J115" s="247" t="s">
        <v>124</v>
      </c>
      <c r="K115" s="247" t="s">
        <v>0</v>
      </c>
      <c r="L115" s="267">
        <f>9000*12</f>
        <v>108000</v>
      </c>
      <c r="M115" s="252">
        <v>0</v>
      </c>
      <c r="N115" s="252">
        <v>0</v>
      </c>
      <c r="O115" s="253">
        <f>+L115+M115+N115</f>
        <v>108000</v>
      </c>
    </row>
    <row r="116" spans="1:15" ht="24" customHeight="1">
      <c r="A116" s="241"/>
      <c r="B116" s="254"/>
      <c r="C116" s="254"/>
      <c r="D116" s="241"/>
      <c r="E116" s="254"/>
      <c r="F116" s="241" t="s">
        <v>35</v>
      </c>
      <c r="G116" s="241"/>
      <c r="H116" s="241"/>
      <c r="I116" s="254"/>
      <c r="J116" s="241" t="s">
        <v>35</v>
      </c>
      <c r="K116" s="241"/>
      <c r="L116" s="382" t="s">
        <v>140</v>
      </c>
      <c r="M116" s="246"/>
      <c r="N116" s="246"/>
      <c r="O116" s="241"/>
    </row>
  </sheetData>
  <sheetProtection/>
  <mergeCells count="22">
    <mergeCell ref="L106:M106"/>
    <mergeCell ref="A1:O1"/>
    <mergeCell ref="A3:O3"/>
    <mergeCell ref="A5:O5"/>
    <mergeCell ref="D6:G6"/>
    <mergeCell ref="H6:K6"/>
    <mergeCell ref="D43:G43"/>
    <mergeCell ref="H43:K43"/>
    <mergeCell ref="L18:M18"/>
    <mergeCell ref="B99:O99"/>
    <mergeCell ref="L81:N81"/>
    <mergeCell ref="B84:O84"/>
    <mergeCell ref="D81:G81"/>
    <mergeCell ref="H81:K81"/>
    <mergeCell ref="L88:M88"/>
    <mergeCell ref="L90:M90"/>
    <mergeCell ref="L92:M92"/>
    <mergeCell ref="L6:N6"/>
    <mergeCell ref="B46:O46"/>
    <mergeCell ref="B13:O13"/>
    <mergeCell ref="L43:N43"/>
    <mergeCell ref="L25:M25"/>
  </mergeCells>
  <printOptions/>
  <pageMargins left="0.3" right="0" top="0.7075" bottom="0.25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="110" zoomScaleSheetLayoutView="110" zoomScalePageLayoutView="0" workbookViewId="0" topLeftCell="A94">
      <selection activeCell="I98" sqref="I98"/>
    </sheetView>
  </sheetViews>
  <sheetFormatPr defaultColWidth="9.140625" defaultRowHeight="21.75" customHeight="1"/>
  <cols>
    <col min="1" max="1" width="38.57421875" style="144" customWidth="1"/>
    <col min="2" max="2" width="17.28125" style="202" customWidth="1"/>
    <col min="3" max="3" width="12.140625" style="202" customWidth="1"/>
    <col min="4" max="9" width="7.421875" style="202" customWidth="1"/>
    <col min="10" max="12" width="7.140625" style="202" customWidth="1"/>
    <col min="13" max="13" width="10.8515625" style="203" customWidth="1"/>
    <col min="14" max="16384" width="9.140625" style="144" customWidth="1"/>
  </cols>
  <sheetData>
    <row r="1" spans="1:13" ht="21.75" customHeight="1">
      <c r="A1" s="357" t="s">
        <v>236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4" ht="21.75" customHeight="1">
      <c r="A2" s="355" t="s">
        <v>288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46"/>
    </row>
    <row r="3" spans="1:14" ht="21.75" customHeight="1">
      <c r="A3" s="355" t="s">
        <v>184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46"/>
    </row>
    <row r="4" spans="1:14" ht="21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146"/>
    </row>
    <row r="5" spans="1:14" ht="21.75" customHeight="1">
      <c r="A5" s="147"/>
      <c r="B5" s="147"/>
      <c r="C5" s="148"/>
      <c r="D5" s="359"/>
      <c r="E5" s="360"/>
      <c r="F5" s="361"/>
      <c r="G5" s="365" t="s">
        <v>1</v>
      </c>
      <c r="H5" s="366"/>
      <c r="I5" s="367"/>
      <c r="J5" s="359" t="s">
        <v>185</v>
      </c>
      <c r="K5" s="360"/>
      <c r="L5" s="361"/>
      <c r="M5" s="362" t="s">
        <v>71</v>
      </c>
      <c r="N5" s="149"/>
    </row>
    <row r="6" spans="1:14" ht="21.75" customHeight="1">
      <c r="A6" s="150" t="s">
        <v>186</v>
      </c>
      <c r="B6" s="150" t="s">
        <v>17</v>
      </c>
      <c r="C6" s="145" t="s">
        <v>8</v>
      </c>
      <c r="D6" s="354" t="s">
        <v>187</v>
      </c>
      <c r="E6" s="355"/>
      <c r="F6" s="356"/>
      <c r="G6" s="351" t="s">
        <v>2</v>
      </c>
      <c r="H6" s="352"/>
      <c r="I6" s="353"/>
      <c r="J6" s="354" t="s">
        <v>188</v>
      </c>
      <c r="K6" s="355"/>
      <c r="L6" s="356"/>
      <c r="M6" s="363"/>
      <c r="N6" s="149"/>
    </row>
    <row r="7" spans="1:14" ht="21.75" customHeight="1">
      <c r="A7" s="151"/>
      <c r="B7" s="150" t="s">
        <v>12</v>
      </c>
      <c r="C7" s="145" t="s">
        <v>12</v>
      </c>
      <c r="D7" s="371"/>
      <c r="E7" s="358"/>
      <c r="F7" s="372"/>
      <c r="G7" s="371" t="s">
        <v>189</v>
      </c>
      <c r="H7" s="358"/>
      <c r="I7" s="372"/>
      <c r="J7" s="368"/>
      <c r="K7" s="369"/>
      <c r="L7" s="370"/>
      <c r="M7" s="363"/>
      <c r="N7" s="149"/>
    </row>
    <row r="8" spans="1:14" ht="21.75" customHeight="1">
      <c r="A8" s="153"/>
      <c r="B8" s="154"/>
      <c r="C8" s="152"/>
      <c r="D8" s="155" t="s">
        <v>190</v>
      </c>
      <c r="E8" s="155" t="s">
        <v>191</v>
      </c>
      <c r="F8" s="155" t="s">
        <v>73</v>
      </c>
      <c r="G8" s="155">
        <v>2561</v>
      </c>
      <c r="H8" s="155">
        <v>2562</v>
      </c>
      <c r="I8" s="155">
        <v>2563</v>
      </c>
      <c r="J8" s="155">
        <v>2561</v>
      </c>
      <c r="K8" s="155">
        <v>2562</v>
      </c>
      <c r="L8" s="155">
        <v>2563</v>
      </c>
      <c r="M8" s="364"/>
      <c r="N8" s="149"/>
    </row>
    <row r="9" spans="1:14" ht="21.75" customHeight="1">
      <c r="A9" s="156" t="s">
        <v>47</v>
      </c>
      <c r="B9" s="157" t="s">
        <v>18</v>
      </c>
      <c r="C9" s="157" t="s">
        <v>19</v>
      </c>
      <c r="D9" s="158">
        <v>1</v>
      </c>
      <c r="E9" s="158">
        <v>1</v>
      </c>
      <c r="F9" s="158" t="s">
        <v>0</v>
      </c>
      <c r="G9" s="158">
        <v>1</v>
      </c>
      <c r="H9" s="158">
        <v>1</v>
      </c>
      <c r="I9" s="158">
        <v>1</v>
      </c>
      <c r="J9" s="158" t="s">
        <v>0</v>
      </c>
      <c r="K9" s="158" t="s">
        <v>0</v>
      </c>
      <c r="L9" s="158" t="s">
        <v>0</v>
      </c>
      <c r="M9" s="158"/>
      <c r="N9" s="149"/>
    </row>
    <row r="10" spans="1:14" ht="21.75" customHeight="1">
      <c r="A10" s="165" t="s">
        <v>48</v>
      </c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49"/>
    </row>
    <row r="11" spans="1:14" ht="21.75" customHeight="1">
      <c r="A11" s="159" t="s">
        <v>215</v>
      </c>
      <c r="B11" s="160"/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49"/>
    </row>
    <row r="12" spans="1:14" ht="21.75" customHeight="1">
      <c r="A12" s="162" t="s">
        <v>192</v>
      </c>
      <c r="B12" s="163"/>
      <c r="C12" s="163"/>
      <c r="D12" s="164"/>
      <c r="E12" s="164"/>
      <c r="F12" s="164"/>
      <c r="G12" s="158"/>
      <c r="H12" s="158"/>
      <c r="I12" s="158"/>
      <c r="J12" s="158"/>
      <c r="K12" s="158"/>
      <c r="L12" s="158"/>
      <c r="M12" s="147"/>
      <c r="N12" s="149"/>
    </row>
    <row r="13" spans="1:14" ht="21.75" customHeight="1">
      <c r="A13" s="165" t="s">
        <v>264</v>
      </c>
      <c r="B13" s="166" t="s">
        <v>193</v>
      </c>
      <c r="C13" s="166" t="s">
        <v>19</v>
      </c>
      <c r="D13" s="167">
        <v>1</v>
      </c>
      <c r="E13" s="167">
        <v>1</v>
      </c>
      <c r="F13" s="167" t="s">
        <v>0</v>
      </c>
      <c r="G13" s="167">
        <v>1</v>
      </c>
      <c r="H13" s="167">
        <v>1</v>
      </c>
      <c r="I13" s="167">
        <v>1</v>
      </c>
      <c r="J13" s="167" t="s">
        <v>0</v>
      </c>
      <c r="K13" s="167" t="s">
        <v>0</v>
      </c>
      <c r="L13" s="167" t="s">
        <v>0</v>
      </c>
      <c r="M13" s="167"/>
      <c r="N13" s="146"/>
    </row>
    <row r="14" spans="1:14" ht="21.75" customHeight="1">
      <c r="A14" s="165" t="s">
        <v>265</v>
      </c>
      <c r="B14" s="166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46"/>
    </row>
    <row r="15" spans="1:14" ht="21.75" customHeight="1">
      <c r="A15" s="159" t="s">
        <v>216</v>
      </c>
      <c r="B15" s="160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46"/>
    </row>
    <row r="16" spans="1:14" ht="21.75" customHeight="1">
      <c r="A16" s="168" t="s">
        <v>247</v>
      </c>
      <c r="B16" s="169"/>
      <c r="C16" s="169"/>
      <c r="D16" s="170"/>
      <c r="E16" s="170"/>
      <c r="F16" s="170"/>
      <c r="G16" s="158"/>
      <c r="H16" s="158"/>
      <c r="I16" s="158"/>
      <c r="J16" s="171"/>
      <c r="K16" s="171"/>
      <c r="L16" s="171"/>
      <c r="M16" s="147"/>
      <c r="N16" s="146"/>
    </row>
    <row r="17" spans="1:14" ht="21.75" customHeight="1">
      <c r="A17" s="165" t="s">
        <v>194</v>
      </c>
      <c r="B17" s="166" t="s">
        <v>22</v>
      </c>
      <c r="C17" s="166" t="s">
        <v>195</v>
      </c>
      <c r="D17" s="167">
        <v>1</v>
      </c>
      <c r="E17" s="167" t="s">
        <v>0</v>
      </c>
      <c r="F17" s="167">
        <v>1</v>
      </c>
      <c r="G17" s="167">
        <v>1</v>
      </c>
      <c r="H17" s="167">
        <v>1</v>
      </c>
      <c r="I17" s="167">
        <v>1</v>
      </c>
      <c r="J17" s="167" t="s">
        <v>0</v>
      </c>
      <c r="K17" s="167" t="s">
        <v>0</v>
      </c>
      <c r="L17" s="167" t="s">
        <v>0</v>
      </c>
      <c r="M17" s="167"/>
      <c r="N17" s="146"/>
    </row>
    <row r="18" spans="1:14" ht="21.75" customHeight="1">
      <c r="A18" s="159" t="s">
        <v>217</v>
      </c>
      <c r="B18" s="160"/>
      <c r="C18" s="160" t="s">
        <v>45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46"/>
    </row>
    <row r="19" spans="1:14" ht="21.75" customHeight="1">
      <c r="A19" s="172" t="s">
        <v>250</v>
      </c>
      <c r="B19" s="169"/>
      <c r="C19" s="169"/>
      <c r="D19" s="170"/>
      <c r="E19" s="170"/>
      <c r="F19" s="170"/>
      <c r="G19" s="170"/>
      <c r="H19" s="158"/>
      <c r="I19" s="158"/>
      <c r="J19" s="171"/>
      <c r="K19" s="171"/>
      <c r="L19" s="171"/>
      <c r="M19" s="147"/>
      <c r="N19" s="146"/>
    </row>
    <row r="20" spans="1:14" ht="21.75" customHeight="1">
      <c r="A20" s="173" t="s">
        <v>24</v>
      </c>
      <c r="B20" s="174" t="s">
        <v>22</v>
      </c>
      <c r="C20" s="166" t="s">
        <v>44</v>
      </c>
      <c r="D20" s="174">
        <v>1</v>
      </c>
      <c r="E20" s="174">
        <v>1</v>
      </c>
      <c r="F20" s="174" t="s">
        <v>0</v>
      </c>
      <c r="G20" s="174">
        <v>1</v>
      </c>
      <c r="H20" s="167">
        <v>1</v>
      </c>
      <c r="I20" s="167">
        <v>1</v>
      </c>
      <c r="J20" s="167" t="s">
        <v>0</v>
      </c>
      <c r="K20" s="167" t="s">
        <v>0</v>
      </c>
      <c r="L20" s="167" t="s">
        <v>0</v>
      </c>
      <c r="M20" s="175"/>
      <c r="N20" s="146"/>
    </row>
    <row r="21" spans="1:14" ht="21.75" customHeight="1">
      <c r="A21" s="159" t="s">
        <v>229</v>
      </c>
      <c r="B21" s="160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46"/>
    </row>
    <row r="22" spans="1:14" ht="21.75" customHeight="1">
      <c r="A22" s="172" t="s">
        <v>251</v>
      </c>
      <c r="B22" s="169"/>
      <c r="C22" s="169"/>
      <c r="D22" s="170"/>
      <c r="E22" s="170"/>
      <c r="F22" s="170"/>
      <c r="G22" s="170"/>
      <c r="H22" s="158"/>
      <c r="I22" s="158"/>
      <c r="J22" s="171"/>
      <c r="K22" s="171"/>
      <c r="L22" s="171"/>
      <c r="M22" s="147"/>
      <c r="N22" s="146"/>
    </row>
    <row r="23" spans="1:14" ht="21.75" customHeight="1">
      <c r="A23" s="173" t="s">
        <v>25</v>
      </c>
      <c r="B23" s="174" t="s">
        <v>22</v>
      </c>
      <c r="C23" s="166" t="s">
        <v>44</v>
      </c>
      <c r="D23" s="174">
        <v>1</v>
      </c>
      <c r="E23" s="174">
        <v>1</v>
      </c>
      <c r="F23" s="174" t="s">
        <v>0</v>
      </c>
      <c r="G23" s="174">
        <v>1</v>
      </c>
      <c r="H23" s="167">
        <v>1</v>
      </c>
      <c r="I23" s="167">
        <v>1</v>
      </c>
      <c r="J23" s="167" t="s">
        <v>0</v>
      </c>
      <c r="K23" s="167" t="s">
        <v>0</v>
      </c>
      <c r="L23" s="167" t="s">
        <v>0</v>
      </c>
      <c r="M23" s="175"/>
      <c r="N23" s="146"/>
    </row>
    <row r="24" spans="1:14" ht="21.75" customHeight="1">
      <c r="A24" s="159" t="s">
        <v>220</v>
      </c>
      <c r="B24" s="160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46"/>
    </row>
    <row r="25" spans="1:14" ht="21.75" customHeight="1">
      <c r="A25" s="172" t="s">
        <v>248</v>
      </c>
      <c r="B25" s="169"/>
      <c r="C25" s="169"/>
      <c r="D25" s="170"/>
      <c r="E25" s="170"/>
      <c r="F25" s="170"/>
      <c r="G25" s="170"/>
      <c r="H25" s="158"/>
      <c r="I25" s="158"/>
      <c r="J25" s="171"/>
      <c r="K25" s="171"/>
      <c r="L25" s="171"/>
      <c r="M25" s="147"/>
      <c r="N25" s="146"/>
    </row>
    <row r="26" spans="1:14" ht="21.75" customHeight="1">
      <c r="A26" s="173" t="s">
        <v>196</v>
      </c>
      <c r="B26" s="174" t="s">
        <v>22</v>
      </c>
      <c r="C26" s="166" t="s">
        <v>195</v>
      </c>
      <c r="D26" s="174">
        <v>1</v>
      </c>
      <c r="E26" s="174" t="s">
        <v>0</v>
      </c>
      <c r="F26" s="174">
        <v>1</v>
      </c>
      <c r="G26" s="174">
        <v>1</v>
      </c>
      <c r="H26" s="167">
        <v>1</v>
      </c>
      <c r="I26" s="167">
        <v>1</v>
      </c>
      <c r="J26" s="167" t="s">
        <v>0</v>
      </c>
      <c r="K26" s="167" t="s">
        <v>0</v>
      </c>
      <c r="L26" s="167" t="s">
        <v>0</v>
      </c>
      <c r="M26" s="175"/>
      <c r="N26" s="146"/>
    </row>
    <row r="27" spans="1:14" ht="21.75" customHeight="1">
      <c r="A27" s="159" t="s">
        <v>218</v>
      </c>
      <c r="B27" s="160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46"/>
    </row>
    <row r="28" spans="1:14" ht="21.75" customHeight="1">
      <c r="A28" s="176" t="s">
        <v>232</v>
      </c>
      <c r="B28" s="170" t="s">
        <v>268</v>
      </c>
      <c r="C28" s="170" t="s">
        <v>233</v>
      </c>
      <c r="D28" s="170">
        <v>6</v>
      </c>
      <c r="E28" s="170">
        <v>6</v>
      </c>
      <c r="F28" s="170" t="s">
        <v>0</v>
      </c>
      <c r="G28" s="170">
        <v>6</v>
      </c>
      <c r="H28" s="158">
        <v>6</v>
      </c>
      <c r="I28" s="158">
        <v>6</v>
      </c>
      <c r="J28" s="167" t="s">
        <v>0</v>
      </c>
      <c r="K28" s="167" t="s">
        <v>0</v>
      </c>
      <c r="L28" s="167" t="s">
        <v>0</v>
      </c>
      <c r="M28" s="123" t="s">
        <v>197</v>
      </c>
      <c r="N28" s="146"/>
    </row>
    <row r="29" spans="1:14" ht="21.75" customHeight="1">
      <c r="A29" s="173" t="s">
        <v>198</v>
      </c>
      <c r="B29" s="174" t="s">
        <v>269</v>
      </c>
      <c r="C29" s="174" t="s">
        <v>115</v>
      </c>
      <c r="D29" s="174"/>
      <c r="E29" s="174"/>
      <c r="F29" s="174"/>
      <c r="G29" s="174"/>
      <c r="H29" s="167"/>
      <c r="I29" s="167"/>
      <c r="J29" s="167"/>
      <c r="K29" s="167"/>
      <c r="L29" s="167"/>
      <c r="M29" s="175"/>
      <c r="N29" s="146"/>
    </row>
    <row r="30" spans="1:14" ht="21.75" customHeight="1">
      <c r="A30" s="173" t="s">
        <v>199</v>
      </c>
      <c r="B30" s="174" t="s">
        <v>88</v>
      </c>
      <c r="C30" s="174"/>
      <c r="D30" s="174"/>
      <c r="E30" s="174"/>
      <c r="F30" s="174"/>
      <c r="G30" s="174"/>
      <c r="H30" s="167"/>
      <c r="I30" s="167"/>
      <c r="J30" s="167"/>
      <c r="K30" s="167"/>
      <c r="L30" s="167"/>
      <c r="M30" s="175"/>
      <c r="N30" s="146"/>
    </row>
    <row r="31" spans="1:14" ht="21.75" customHeight="1">
      <c r="A31" s="173" t="s">
        <v>200</v>
      </c>
      <c r="B31" s="174"/>
      <c r="C31" s="174"/>
      <c r="D31" s="174"/>
      <c r="E31" s="174"/>
      <c r="F31" s="174"/>
      <c r="G31" s="174"/>
      <c r="H31" s="167"/>
      <c r="I31" s="167"/>
      <c r="J31" s="167"/>
      <c r="K31" s="167"/>
      <c r="L31" s="167"/>
      <c r="M31" s="175"/>
      <c r="N31" s="146"/>
    </row>
    <row r="32" spans="1:14" ht="21.75" customHeight="1">
      <c r="A32" s="173" t="s">
        <v>201</v>
      </c>
      <c r="B32" s="174"/>
      <c r="C32" s="174"/>
      <c r="D32" s="174"/>
      <c r="E32" s="174"/>
      <c r="F32" s="174"/>
      <c r="G32" s="174"/>
      <c r="H32" s="167"/>
      <c r="I32" s="167"/>
      <c r="J32" s="167"/>
      <c r="K32" s="167"/>
      <c r="L32" s="167"/>
      <c r="M32" s="175"/>
      <c r="N32" s="146"/>
    </row>
    <row r="33" spans="1:14" ht="21.75" customHeight="1">
      <c r="A33" s="173" t="s">
        <v>202</v>
      </c>
      <c r="B33" s="174"/>
      <c r="C33" s="174"/>
      <c r="D33" s="174"/>
      <c r="E33" s="174"/>
      <c r="F33" s="174"/>
      <c r="G33" s="174"/>
      <c r="H33" s="167"/>
      <c r="I33" s="167"/>
      <c r="J33" s="167"/>
      <c r="K33" s="167"/>
      <c r="L33" s="167"/>
      <c r="M33" s="175"/>
      <c r="N33" s="146"/>
    </row>
    <row r="34" spans="1:14" ht="21.75" customHeight="1">
      <c r="A34" s="177" t="s">
        <v>203</v>
      </c>
      <c r="B34" s="178"/>
      <c r="C34" s="178"/>
      <c r="D34" s="178"/>
      <c r="E34" s="178"/>
      <c r="F34" s="178"/>
      <c r="G34" s="178"/>
      <c r="H34" s="161"/>
      <c r="I34" s="161"/>
      <c r="J34" s="161"/>
      <c r="K34" s="161"/>
      <c r="L34" s="161"/>
      <c r="M34" s="179"/>
      <c r="N34" s="146"/>
    </row>
    <row r="35" spans="1:14" ht="21.75" customHeight="1">
      <c r="A35" s="172" t="s">
        <v>249</v>
      </c>
      <c r="B35" s="180"/>
      <c r="C35" s="144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146"/>
    </row>
    <row r="36" spans="1:14" ht="21.75" customHeight="1">
      <c r="A36" s="173" t="s">
        <v>23</v>
      </c>
      <c r="B36" s="166" t="s">
        <v>35</v>
      </c>
      <c r="C36" s="174" t="s">
        <v>46</v>
      </c>
      <c r="D36" s="167">
        <v>1</v>
      </c>
      <c r="E36" s="167">
        <v>1</v>
      </c>
      <c r="F36" s="167" t="s">
        <v>0</v>
      </c>
      <c r="G36" s="167">
        <v>1</v>
      </c>
      <c r="H36" s="167">
        <v>1</v>
      </c>
      <c r="I36" s="167">
        <v>1</v>
      </c>
      <c r="J36" s="167" t="s">
        <v>0</v>
      </c>
      <c r="K36" s="167" t="s">
        <v>0</v>
      </c>
      <c r="L36" s="167" t="s">
        <v>0</v>
      </c>
      <c r="M36" s="167"/>
      <c r="N36" s="146"/>
    </row>
    <row r="37" spans="1:14" ht="21.75" customHeight="1">
      <c r="A37" s="159" t="s">
        <v>219</v>
      </c>
      <c r="B37" s="160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46"/>
    </row>
    <row r="38" spans="1:14" ht="21.75" customHeight="1">
      <c r="A38" s="172" t="s">
        <v>252</v>
      </c>
      <c r="B38" s="169"/>
      <c r="C38" s="169"/>
      <c r="D38" s="170"/>
      <c r="E38" s="170"/>
      <c r="F38" s="170"/>
      <c r="G38" s="170"/>
      <c r="H38" s="158"/>
      <c r="I38" s="158"/>
      <c r="J38" s="171"/>
      <c r="K38" s="171"/>
      <c r="L38" s="171"/>
      <c r="M38" s="147"/>
      <c r="N38" s="146"/>
    </row>
    <row r="39" spans="1:14" ht="21.75" customHeight="1">
      <c r="A39" s="173" t="s">
        <v>26</v>
      </c>
      <c r="B39" s="174" t="s">
        <v>35</v>
      </c>
      <c r="C39" s="174" t="s">
        <v>204</v>
      </c>
      <c r="D39" s="174">
        <v>1</v>
      </c>
      <c r="E39" s="174" t="s">
        <v>0</v>
      </c>
      <c r="F39" s="174">
        <v>1</v>
      </c>
      <c r="G39" s="174">
        <v>1</v>
      </c>
      <c r="H39" s="167">
        <v>1</v>
      </c>
      <c r="I39" s="167">
        <v>1</v>
      </c>
      <c r="J39" s="167" t="s">
        <v>0</v>
      </c>
      <c r="K39" s="167" t="s">
        <v>0</v>
      </c>
      <c r="L39" s="167" t="s">
        <v>0</v>
      </c>
      <c r="M39" s="175"/>
      <c r="N39" s="146"/>
    </row>
    <row r="40" spans="1:14" ht="21.75" customHeight="1">
      <c r="A40" s="159" t="s">
        <v>221</v>
      </c>
      <c r="B40" s="160"/>
      <c r="C40" s="160" t="s">
        <v>69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46"/>
    </row>
    <row r="41" spans="1:14" ht="21.75" customHeight="1">
      <c r="A41" s="172" t="s">
        <v>253</v>
      </c>
      <c r="B41" s="169"/>
      <c r="C41" s="169"/>
      <c r="D41" s="170"/>
      <c r="E41" s="170"/>
      <c r="F41" s="170"/>
      <c r="G41" s="170"/>
      <c r="H41" s="158"/>
      <c r="I41" s="158"/>
      <c r="J41" s="171"/>
      <c r="K41" s="171"/>
      <c r="L41" s="171"/>
      <c r="M41" s="147"/>
      <c r="N41" s="146"/>
    </row>
    <row r="42" spans="1:14" ht="21.75" customHeight="1">
      <c r="A42" s="182" t="s">
        <v>205</v>
      </c>
      <c r="B42" s="183"/>
      <c r="C42" s="183"/>
      <c r="D42" s="174"/>
      <c r="E42" s="174"/>
      <c r="F42" s="174"/>
      <c r="G42" s="174"/>
      <c r="H42" s="167"/>
      <c r="I42" s="167"/>
      <c r="J42" s="184"/>
      <c r="K42" s="184"/>
      <c r="L42" s="184"/>
      <c r="M42" s="150"/>
      <c r="N42" s="146"/>
    </row>
    <row r="43" spans="1:14" ht="21.75" customHeight="1">
      <c r="A43" s="173" t="s">
        <v>234</v>
      </c>
      <c r="B43" s="174"/>
      <c r="C43" s="174"/>
      <c r="D43" s="174">
        <v>1</v>
      </c>
      <c r="E43" s="174">
        <v>1</v>
      </c>
      <c r="F43" s="174" t="s">
        <v>0</v>
      </c>
      <c r="G43" s="174">
        <v>1</v>
      </c>
      <c r="H43" s="167">
        <v>1</v>
      </c>
      <c r="I43" s="167">
        <v>1</v>
      </c>
      <c r="J43" s="167" t="s">
        <v>0</v>
      </c>
      <c r="K43" s="167" t="s">
        <v>0</v>
      </c>
      <c r="L43" s="167" t="s">
        <v>0</v>
      </c>
      <c r="M43" s="175"/>
      <c r="N43" s="146"/>
    </row>
    <row r="44" spans="1:14" ht="21.75" customHeight="1">
      <c r="A44" s="159" t="s">
        <v>206</v>
      </c>
      <c r="B44" s="1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46"/>
    </row>
    <row r="45" spans="1:14" ht="21.75" customHeight="1">
      <c r="A45" s="168" t="s">
        <v>254</v>
      </c>
      <c r="B45" s="185"/>
      <c r="C45" s="185"/>
      <c r="D45" s="170"/>
      <c r="E45" s="170"/>
      <c r="F45" s="170"/>
      <c r="G45" s="170"/>
      <c r="H45" s="170"/>
      <c r="I45" s="170"/>
      <c r="J45" s="158"/>
      <c r="K45" s="158"/>
      <c r="L45" s="171"/>
      <c r="M45" s="147"/>
      <c r="N45" s="146"/>
    </row>
    <row r="46" spans="1:14" ht="21.75" customHeight="1">
      <c r="A46" s="173" t="s">
        <v>37</v>
      </c>
      <c r="B46" s="174"/>
      <c r="C46" s="174"/>
      <c r="D46" s="174">
        <v>1</v>
      </c>
      <c r="E46" s="174">
        <v>1</v>
      </c>
      <c r="F46" s="174" t="s">
        <v>0</v>
      </c>
      <c r="G46" s="174">
        <v>1</v>
      </c>
      <c r="H46" s="174">
        <v>1</v>
      </c>
      <c r="I46" s="174">
        <v>1</v>
      </c>
      <c r="J46" s="184" t="s">
        <v>0</v>
      </c>
      <c r="K46" s="184" t="s">
        <v>0</v>
      </c>
      <c r="L46" s="184" t="s">
        <v>0</v>
      </c>
      <c r="M46" s="150"/>
      <c r="N46" s="146"/>
    </row>
    <row r="47" spans="1:14" ht="21.75" customHeight="1">
      <c r="A47" s="173" t="s">
        <v>37</v>
      </c>
      <c r="B47" s="174"/>
      <c r="C47" s="174"/>
      <c r="D47" s="174">
        <v>1</v>
      </c>
      <c r="E47" s="174">
        <v>1</v>
      </c>
      <c r="F47" s="174" t="s">
        <v>98</v>
      </c>
      <c r="G47" s="174">
        <v>1</v>
      </c>
      <c r="H47" s="174">
        <v>1</v>
      </c>
      <c r="I47" s="174">
        <v>1</v>
      </c>
      <c r="J47" s="184" t="s">
        <v>0</v>
      </c>
      <c r="K47" s="184" t="s">
        <v>0</v>
      </c>
      <c r="L47" s="184" t="s">
        <v>0</v>
      </c>
      <c r="M47" s="150"/>
      <c r="N47" s="146"/>
    </row>
    <row r="48" spans="1:14" ht="21.75" customHeight="1">
      <c r="A48" s="173" t="s">
        <v>27</v>
      </c>
      <c r="B48" s="174"/>
      <c r="C48" s="174"/>
      <c r="D48" s="174">
        <v>1</v>
      </c>
      <c r="E48" s="174">
        <v>1</v>
      </c>
      <c r="F48" s="174" t="s">
        <v>98</v>
      </c>
      <c r="G48" s="174">
        <v>1</v>
      </c>
      <c r="H48" s="174">
        <v>1</v>
      </c>
      <c r="I48" s="174">
        <v>1</v>
      </c>
      <c r="J48" s="184" t="s">
        <v>0</v>
      </c>
      <c r="K48" s="184" t="s">
        <v>0</v>
      </c>
      <c r="L48" s="184" t="s">
        <v>0</v>
      </c>
      <c r="M48" s="150"/>
      <c r="N48" s="146"/>
    </row>
    <row r="49" spans="1:14" ht="21.75" customHeight="1">
      <c r="A49" s="173" t="s">
        <v>28</v>
      </c>
      <c r="B49" s="174"/>
      <c r="C49" s="174"/>
      <c r="D49" s="174">
        <v>6</v>
      </c>
      <c r="E49" s="174">
        <v>5</v>
      </c>
      <c r="F49" s="174">
        <v>1</v>
      </c>
      <c r="G49" s="174">
        <v>6</v>
      </c>
      <c r="H49" s="174">
        <v>6</v>
      </c>
      <c r="I49" s="174">
        <v>6</v>
      </c>
      <c r="J49" s="184" t="s">
        <v>0</v>
      </c>
      <c r="K49" s="184" t="s">
        <v>0</v>
      </c>
      <c r="L49" s="184" t="s">
        <v>0</v>
      </c>
      <c r="M49" s="123" t="s">
        <v>197</v>
      </c>
      <c r="N49" s="146"/>
    </row>
    <row r="50" spans="1:14" ht="21.75" customHeight="1">
      <c r="A50" s="186" t="s">
        <v>255</v>
      </c>
      <c r="B50" s="187"/>
      <c r="C50" s="187"/>
      <c r="D50" s="174"/>
      <c r="E50" s="174"/>
      <c r="F50" s="174"/>
      <c r="G50" s="174"/>
      <c r="H50" s="174"/>
      <c r="I50" s="174"/>
      <c r="J50" s="167"/>
      <c r="K50" s="167"/>
      <c r="L50" s="184"/>
      <c r="M50" s="150"/>
      <c r="N50" s="146"/>
    </row>
    <row r="51" spans="1:14" ht="21.75" customHeight="1">
      <c r="A51" s="173" t="s">
        <v>29</v>
      </c>
      <c r="B51" s="174"/>
      <c r="C51" s="174"/>
      <c r="D51" s="174">
        <v>1</v>
      </c>
      <c r="E51" s="174">
        <v>1</v>
      </c>
      <c r="F51" s="174" t="s">
        <v>98</v>
      </c>
      <c r="G51" s="174">
        <v>1</v>
      </c>
      <c r="H51" s="174">
        <v>1</v>
      </c>
      <c r="I51" s="174">
        <v>1</v>
      </c>
      <c r="J51" s="184" t="s">
        <v>0</v>
      </c>
      <c r="K51" s="184" t="s">
        <v>0</v>
      </c>
      <c r="L51" s="184" t="s">
        <v>0</v>
      </c>
      <c r="M51" s="150"/>
      <c r="N51" s="146"/>
    </row>
    <row r="52" spans="1:14" ht="21.75" customHeight="1">
      <c r="A52" s="177" t="s">
        <v>30</v>
      </c>
      <c r="B52" s="178"/>
      <c r="C52" s="178"/>
      <c r="D52" s="178">
        <v>2</v>
      </c>
      <c r="E52" s="178">
        <v>2</v>
      </c>
      <c r="F52" s="178" t="s">
        <v>98</v>
      </c>
      <c r="G52" s="178">
        <v>2</v>
      </c>
      <c r="H52" s="178">
        <v>2</v>
      </c>
      <c r="I52" s="178">
        <v>2</v>
      </c>
      <c r="J52" s="188" t="s">
        <v>0</v>
      </c>
      <c r="K52" s="188" t="s">
        <v>0</v>
      </c>
      <c r="L52" s="188" t="s">
        <v>0</v>
      </c>
      <c r="M52" s="154"/>
      <c r="N52" s="146"/>
    </row>
    <row r="53" spans="1:14" ht="21.75" customHeight="1">
      <c r="A53" s="189"/>
      <c r="B53" s="190"/>
      <c r="C53" s="190"/>
      <c r="D53" s="190"/>
      <c r="E53" s="190"/>
      <c r="F53" s="190"/>
      <c r="G53" s="190"/>
      <c r="H53" s="190"/>
      <c r="I53" s="190"/>
      <c r="J53" s="191"/>
      <c r="K53" s="191"/>
      <c r="L53" s="191"/>
      <c r="M53" s="145"/>
      <c r="N53" s="146"/>
    </row>
    <row r="54" spans="1:14" ht="21.7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1"/>
      <c r="K54" s="191"/>
      <c r="L54" s="191"/>
      <c r="M54" s="145"/>
      <c r="N54" s="146"/>
    </row>
    <row r="55" spans="1:14" ht="21.75" customHeight="1">
      <c r="A55" s="373" t="s">
        <v>207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146"/>
    </row>
    <row r="56" spans="1:14" ht="21.7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46"/>
    </row>
    <row r="57" spans="1:14" ht="21.7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46"/>
    </row>
    <row r="58" spans="1:14" ht="21.75" customHeight="1">
      <c r="A58" s="147"/>
      <c r="B58" s="147"/>
      <c r="C58" s="148"/>
      <c r="D58" s="359"/>
      <c r="E58" s="360"/>
      <c r="F58" s="361"/>
      <c r="G58" s="365" t="s">
        <v>1</v>
      </c>
      <c r="H58" s="366"/>
      <c r="I58" s="367"/>
      <c r="J58" s="359" t="s">
        <v>185</v>
      </c>
      <c r="K58" s="360"/>
      <c r="L58" s="361"/>
      <c r="M58" s="362" t="s">
        <v>71</v>
      </c>
      <c r="N58" s="146"/>
    </row>
    <row r="59" spans="1:14" ht="21.75" customHeight="1">
      <c r="A59" s="150" t="s">
        <v>186</v>
      </c>
      <c r="B59" s="150" t="s">
        <v>17</v>
      </c>
      <c r="C59" s="145" t="s">
        <v>8</v>
      </c>
      <c r="D59" s="354" t="s">
        <v>187</v>
      </c>
      <c r="E59" s="355"/>
      <c r="F59" s="356"/>
      <c r="G59" s="351" t="s">
        <v>2</v>
      </c>
      <c r="H59" s="352"/>
      <c r="I59" s="353"/>
      <c r="J59" s="354" t="s">
        <v>188</v>
      </c>
      <c r="K59" s="355"/>
      <c r="L59" s="356"/>
      <c r="M59" s="363"/>
      <c r="N59" s="146"/>
    </row>
    <row r="60" spans="1:14" ht="21.75" customHeight="1">
      <c r="A60" s="151"/>
      <c r="B60" s="150" t="s">
        <v>12</v>
      </c>
      <c r="C60" s="145" t="s">
        <v>12</v>
      </c>
      <c r="D60" s="371"/>
      <c r="E60" s="358"/>
      <c r="F60" s="372"/>
      <c r="G60" s="371" t="s">
        <v>189</v>
      </c>
      <c r="H60" s="358"/>
      <c r="I60" s="372"/>
      <c r="J60" s="368"/>
      <c r="K60" s="369"/>
      <c r="L60" s="370"/>
      <c r="M60" s="363"/>
      <c r="N60" s="146"/>
    </row>
    <row r="61" spans="1:14" ht="21.75" customHeight="1">
      <c r="A61" s="153"/>
      <c r="B61" s="154"/>
      <c r="C61" s="152"/>
      <c r="D61" s="155" t="s">
        <v>190</v>
      </c>
      <c r="E61" s="155" t="s">
        <v>191</v>
      </c>
      <c r="F61" s="155" t="s">
        <v>73</v>
      </c>
      <c r="G61" s="155">
        <v>2561</v>
      </c>
      <c r="H61" s="155">
        <v>2562</v>
      </c>
      <c r="I61" s="155">
        <v>2563</v>
      </c>
      <c r="J61" s="155">
        <v>2561</v>
      </c>
      <c r="K61" s="155">
        <v>2562</v>
      </c>
      <c r="L61" s="155">
        <v>2563</v>
      </c>
      <c r="M61" s="364"/>
      <c r="N61" s="146"/>
    </row>
    <row r="62" spans="1:14" ht="21.75" customHeight="1">
      <c r="A62" s="162" t="s">
        <v>208</v>
      </c>
      <c r="B62" s="163"/>
      <c r="C62" s="163"/>
      <c r="D62" s="164"/>
      <c r="E62" s="164"/>
      <c r="F62" s="164"/>
      <c r="G62" s="158"/>
      <c r="H62" s="158"/>
      <c r="I62" s="158"/>
      <c r="J62" s="158"/>
      <c r="K62" s="158"/>
      <c r="L62" s="158"/>
      <c r="M62" s="147"/>
      <c r="N62" s="149"/>
    </row>
    <row r="63" spans="1:14" ht="21.75" customHeight="1">
      <c r="A63" s="182" t="s">
        <v>256</v>
      </c>
      <c r="B63" s="183"/>
      <c r="C63" s="183"/>
      <c r="D63" s="187"/>
      <c r="E63" s="187"/>
      <c r="F63" s="187"/>
      <c r="G63" s="167"/>
      <c r="H63" s="167"/>
      <c r="I63" s="167"/>
      <c r="J63" s="167"/>
      <c r="K63" s="167"/>
      <c r="L63" s="167"/>
      <c r="M63" s="150"/>
      <c r="N63" s="149"/>
    </row>
    <row r="64" spans="1:14" ht="21.75" customHeight="1">
      <c r="A64" s="165" t="s">
        <v>261</v>
      </c>
      <c r="B64" s="166" t="s">
        <v>193</v>
      </c>
      <c r="C64" s="166" t="s">
        <v>19</v>
      </c>
      <c r="D64" s="167">
        <v>1</v>
      </c>
      <c r="E64" s="167">
        <v>1</v>
      </c>
      <c r="F64" s="167" t="s">
        <v>0</v>
      </c>
      <c r="G64" s="167">
        <v>1</v>
      </c>
      <c r="H64" s="167">
        <v>1</v>
      </c>
      <c r="I64" s="167">
        <v>1</v>
      </c>
      <c r="J64" s="167" t="s">
        <v>0</v>
      </c>
      <c r="K64" s="167" t="s">
        <v>0</v>
      </c>
      <c r="L64" s="167" t="s">
        <v>0</v>
      </c>
      <c r="M64" s="167"/>
      <c r="N64" s="149"/>
    </row>
    <row r="65" spans="1:14" ht="21.75" customHeight="1">
      <c r="A65" s="165" t="s">
        <v>262</v>
      </c>
      <c r="B65" s="166"/>
      <c r="C65" s="166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49"/>
    </row>
    <row r="66" spans="1:14" ht="21.75" customHeight="1">
      <c r="A66" s="159" t="s">
        <v>222</v>
      </c>
      <c r="B66" s="160"/>
      <c r="C66" s="160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49"/>
    </row>
    <row r="67" spans="1:14" ht="21.75" customHeight="1">
      <c r="A67" s="172" t="s">
        <v>249</v>
      </c>
      <c r="B67" s="169"/>
      <c r="C67" s="169"/>
      <c r="D67" s="170"/>
      <c r="E67" s="170"/>
      <c r="F67" s="170"/>
      <c r="G67" s="158"/>
      <c r="H67" s="158"/>
      <c r="I67" s="158"/>
      <c r="J67" s="171"/>
      <c r="K67" s="171"/>
      <c r="L67" s="171"/>
      <c r="M67" s="147"/>
      <c r="N67" s="149"/>
    </row>
    <row r="68" spans="1:14" ht="21.75" customHeight="1">
      <c r="A68" s="165" t="s">
        <v>23</v>
      </c>
      <c r="B68" s="166" t="s">
        <v>35</v>
      </c>
      <c r="C68" s="166" t="s">
        <v>204</v>
      </c>
      <c r="D68" s="167">
        <v>1</v>
      </c>
      <c r="E68" s="167" t="s">
        <v>0</v>
      </c>
      <c r="F68" s="167">
        <v>1</v>
      </c>
      <c r="G68" s="167">
        <v>1</v>
      </c>
      <c r="H68" s="167">
        <v>1</v>
      </c>
      <c r="I68" s="167">
        <v>1</v>
      </c>
      <c r="J68" s="167" t="s">
        <v>0</v>
      </c>
      <c r="K68" s="167" t="s">
        <v>0</v>
      </c>
      <c r="L68" s="167" t="s">
        <v>0</v>
      </c>
      <c r="M68" s="167"/>
      <c r="N68" s="149"/>
    </row>
    <row r="69" spans="1:14" ht="21.75" customHeight="1">
      <c r="A69" s="159" t="s">
        <v>225</v>
      </c>
      <c r="B69" s="160"/>
      <c r="C69" s="160" t="s">
        <v>69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49"/>
    </row>
    <row r="70" spans="1:14" ht="21.75" customHeight="1">
      <c r="A70" s="168" t="s">
        <v>257</v>
      </c>
      <c r="B70" s="169"/>
      <c r="C70" s="169"/>
      <c r="D70" s="170"/>
      <c r="E70" s="170"/>
      <c r="F70" s="170"/>
      <c r="G70" s="158"/>
      <c r="H70" s="158"/>
      <c r="I70" s="158"/>
      <c r="J70" s="171"/>
      <c r="K70" s="171"/>
      <c r="L70" s="171"/>
      <c r="M70" s="147"/>
      <c r="N70" s="149"/>
    </row>
    <row r="71" spans="1:14" ht="21.75" customHeight="1">
      <c r="A71" s="165" t="s">
        <v>32</v>
      </c>
      <c r="B71" s="166" t="s">
        <v>35</v>
      </c>
      <c r="C71" s="166" t="s">
        <v>204</v>
      </c>
      <c r="D71" s="167">
        <v>1</v>
      </c>
      <c r="E71" s="167" t="s">
        <v>0</v>
      </c>
      <c r="F71" s="167">
        <v>1</v>
      </c>
      <c r="G71" s="167">
        <v>1</v>
      </c>
      <c r="H71" s="167">
        <v>1</v>
      </c>
      <c r="I71" s="167">
        <v>1</v>
      </c>
      <c r="J71" s="167" t="s">
        <v>0</v>
      </c>
      <c r="K71" s="167" t="s">
        <v>0</v>
      </c>
      <c r="L71" s="167" t="s">
        <v>0</v>
      </c>
      <c r="M71" s="167"/>
      <c r="N71" s="149"/>
    </row>
    <row r="72" spans="1:14" ht="21.75" customHeight="1">
      <c r="A72" s="159" t="s">
        <v>230</v>
      </c>
      <c r="B72" s="160"/>
      <c r="C72" s="160" t="s">
        <v>69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49"/>
    </row>
    <row r="73" spans="1:14" ht="21.75" customHeight="1">
      <c r="A73" s="172" t="s">
        <v>258</v>
      </c>
      <c r="B73" s="169"/>
      <c r="C73" s="169"/>
      <c r="D73" s="170"/>
      <c r="E73" s="170"/>
      <c r="F73" s="170"/>
      <c r="G73" s="158"/>
      <c r="H73" s="158"/>
      <c r="I73" s="158"/>
      <c r="J73" s="171"/>
      <c r="K73" s="171"/>
      <c r="L73" s="171"/>
      <c r="M73" s="147"/>
      <c r="N73" s="149"/>
    </row>
    <row r="74" spans="1:14" ht="21.75" customHeight="1">
      <c r="A74" s="165" t="s">
        <v>33</v>
      </c>
      <c r="B74" s="166" t="s">
        <v>35</v>
      </c>
      <c r="C74" s="166" t="s">
        <v>204</v>
      </c>
      <c r="D74" s="167">
        <v>1</v>
      </c>
      <c r="E74" s="167" t="s">
        <v>0</v>
      </c>
      <c r="F74" s="167">
        <v>1</v>
      </c>
      <c r="G74" s="167">
        <v>1</v>
      </c>
      <c r="H74" s="167">
        <v>1</v>
      </c>
      <c r="I74" s="167">
        <v>1</v>
      </c>
      <c r="J74" s="167" t="s">
        <v>0</v>
      </c>
      <c r="K74" s="167" t="s">
        <v>0</v>
      </c>
      <c r="L74" s="167" t="s">
        <v>0</v>
      </c>
      <c r="M74" s="167"/>
      <c r="N74" s="149"/>
    </row>
    <row r="75" spans="1:14" ht="21.75" customHeight="1">
      <c r="A75" s="159" t="s">
        <v>223</v>
      </c>
      <c r="B75" s="160"/>
      <c r="C75" s="160" t="s">
        <v>69</v>
      </c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46"/>
    </row>
    <row r="76" spans="1:14" ht="21.75" customHeight="1">
      <c r="A76" s="172" t="s">
        <v>259</v>
      </c>
      <c r="B76" s="169"/>
      <c r="C76" s="169"/>
      <c r="D76" s="170"/>
      <c r="E76" s="170"/>
      <c r="F76" s="170"/>
      <c r="G76" s="158"/>
      <c r="H76" s="158"/>
      <c r="I76" s="158"/>
      <c r="J76" s="171"/>
      <c r="K76" s="171"/>
      <c r="L76" s="171"/>
      <c r="M76" s="147"/>
      <c r="N76" s="146"/>
    </row>
    <row r="77" spans="1:14" ht="21.75" customHeight="1">
      <c r="A77" s="165" t="s">
        <v>34</v>
      </c>
      <c r="B77" s="166" t="s">
        <v>35</v>
      </c>
      <c r="C77" s="166" t="s">
        <v>69</v>
      </c>
      <c r="D77" s="167">
        <v>1</v>
      </c>
      <c r="E77" s="167">
        <v>1</v>
      </c>
      <c r="F77" s="167" t="s">
        <v>0</v>
      </c>
      <c r="G77" s="167">
        <v>1</v>
      </c>
      <c r="H77" s="167">
        <v>1</v>
      </c>
      <c r="I77" s="167">
        <v>1</v>
      </c>
      <c r="J77" s="167" t="s">
        <v>0</v>
      </c>
      <c r="K77" s="167" t="s">
        <v>0</v>
      </c>
      <c r="L77" s="167" t="s">
        <v>0</v>
      </c>
      <c r="M77" s="167"/>
      <c r="N77" s="146"/>
    </row>
    <row r="78" spans="1:14" ht="21.75" customHeight="1">
      <c r="A78" s="159" t="s">
        <v>224</v>
      </c>
      <c r="B78" s="160"/>
      <c r="C78" s="160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46"/>
    </row>
    <row r="79" spans="1:14" ht="21.75" customHeight="1">
      <c r="A79" s="168" t="s">
        <v>254</v>
      </c>
      <c r="B79" s="185"/>
      <c r="C79" s="185"/>
      <c r="D79" s="170"/>
      <c r="E79" s="170"/>
      <c r="F79" s="170"/>
      <c r="G79" s="170"/>
      <c r="H79" s="158"/>
      <c r="I79" s="158"/>
      <c r="J79" s="158"/>
      <c r="K79" s="158"/>
      <c r="L79" s="158"/>
      <c r="M79" s="147"/>
      <c r="N79" s="146"/>
    </row>
    <row r="80" spans="1:14" ht="21.75" customHeight="1">
      <c r="A80" s="173" t="s">
        <v>36</v>
      </c>
      <c r="B80" s="174"/>
      <c r="C80" s="174"/>
      <c r="D80" s="174">
        <v>1</v>
      </c>
      <c r="E80" s="174">
        <v>1</v>
      </c>
      <c r="F80" s="174" t="s">
        <v>98</v>
      </c>
      <c r="G80" s="174">
        <v>1</v>
      </c>
      <c r="H80" s="167">
        <v>1</v>
      </c>
      <c r="I80" s="167">
        <v>1</v>
      </c>
      <c r="J80" s="184" t="s">
        <v>0</v>
      </c>
      <c r="K80" s="184" t="s">
        <v>0</v>
      </c>
      <c r="L80" s="184" t="s">
        <v>0</v>
      </c>
      <c r="M80" s="150"/>
      <c r="N80" s="146"/>
    </row>
    <row r="81" spans="1:14" ht="21.75" customHeight="1">
      <c r="A81" s="177" t="s">
        <v>37</v>
      </c>
      <c r="B81" s="178"/>
      <c r="C81" s="178"/>
      <c r="D81" s="178">
        <v>1</v>
      </c>
      <c r="E81" s="178">
        <v>1</v>
      </c>
      <c r="F81" s="178" t="s">
        <v>98</v>
      </c>
      <c r="G81" s="178">
        <v>1</v>
      </c>
      <c r="H81" s="161">
        <v>1</v>
      </c>
      <c r="I81" s="161">
        <v>1</v>
      </c>
      <c r="J81" s="188" t="s">
        <v>0</v>
      </c>
      <c r="K81" s="188" t="s">
        <v>0</v>
      </c>
      <c r="L81" s="188" t="s">
        <v>0</v>
      </c>
      <c r="M81" s="154"/>
      <c r="N81" s="146"/>
    </row>
    <row r="82" spans="1:13" ht="21.75" customHeight="1">
      <c r="A82" s="162" t="s">
        <v>209</v>
      </c>
      <c r="B82" s="163"/>
      <c r="C82" s="163"/>
      <c r="D82" s="164"/>
      <c r="E82" s="164"/>
      <c r="F82" s="164"/>
      <c r="G82" s="158"/>
      <c r="H82" s="158"/>
      <c r="I82" s="158"/>
      <c r="J82" s="158"/>
      <c r="K82" s="158"/>
      <c r="L82" s="158"/>
      <c r="M82" s="147"/>
    </row>
    <row r="83" spans="1:13" ht="21.75" customHeight="1">
      <c r="A83" s="182" t="s">
        <v>260</v>
      </c>
      <c r="B83" s="183"/>
      <c r="C83" s="183"/>
      <c r="D83" s="187"/>
      <c r="E83" s="187"/>
      <c r="F83" s="187"/>
      <c r="G83" s="167"/>
      <c r="H83" s="167"/>
      <c r="I83" s="167"/>
      <c r="J83" s="167"/>
      <c r="K83" s="167"/>
      <c r="L83" s="167"/>
      <c r="M83" s="150"/>
    </row>
    <row r="84" spans="1:13" ht="21.75" customHeight="1">
      <c r="A84" s="165" t="s">
        <v>287</v>
      </c>
      <c r="B84" s="166" t="s">
        <v>193</v>
      </c>
      <c r="C84" s="166" t="s">
        <v>19</v>
      </c>
      <c r="D84" s="167">
        <v>1</v>
      </c>
      <c r="E84" s="167" t="s">
        <v>0</v>
      </c>
      <c r="F84" s="167">
        <v>1</v>
      </c>
      <c r="G84" s="167">
        <v>1</v>
      </c>
      <c r="H84" s="167">
        <v>1</v>
      </c>
      <c r="I84" s="167">
        <v>1</v>
      </c>
      <c r="J84" s="167" t="s">
        <v>0</v>
      </c>
      <c r="K84" s="167" t="s">
        <v>0</v>
      </c>
      <c r="L84" s="167" t="s">
        <v>0</v>
      </c>
      <c r="M84" s="167"/>
    </row>
    <row r="85" spans="1:13" ht="21.75" customHeight="1">
      <c r="A85" s="165" t="s">
        <v>263</v>
      </c>
      <c r="B85" s="166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1:13" ht="21.75" customHeight="1">
      <c r="A86" s="159" t="s">
        <v>226</v>
      </c>
      <c r="B86" s="160"/>
      <c r="C86" s="160"/>
      <c r="D86" s="161"/>
      <c r="E86" s="161"/>
      <c r="F86" s="161"/>
      <c r="G86" s="161"/>
      <c r="H86" s="161"/>
      <c r="I86" s="161"/>
      <c r="J86" s="161"/>
      <c r="K86" s="161"/>
      <c r="L86" s="161"/>
      <c r="M86" s="161"/>
    </row>
    <row r="87" spans="1:13" ht="21.75" customHeight="1">
      <c r="A87" s="165" t="s">
        <v>210</v>
      </c>
      <c r="B87" s="166" t="s">
        <v>35</v>
      </c>
      <c r="C87" s="166" t="s">
        <v>69</v>
      </c>
      <c r="D87" s="167">
        <v>1</v>
      </c>
      <c r="E87" s="167">
        <v>1</v>
      </c>
      <c r="F87" s="167" t="s">
        <v>0</v>
      </c>
      <c r="G87" s="167">
        <v>1</v>
      </c>
      <c r="H87" s="167">
        <v>1</v>
      </c>
      <c r="I87" s="167">
        <v>1</v>
      </c>
      <c r="J87" s="167" t="s">
        <v>0</v>
      </c>
      <c r="K87" s="167" t="s">
        <v>0</v>
      </c>
      <c r="L87" s="167" t="s">
        <v>0</v>
      </c>
      <c r="M87" s="167"/>
    </row>
    <row r="88" spans="1:13" ht="21.75" customHeight="1">
      <c r="A88" s="159" t="s">
        <v>227</v>
      </c>
      <c r="B88" s="160"/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</row>
    <row r="89" spans="1:13" ht="21.75" customHeight="1">
      <c r="A89" s="165" t="s">
        <v>210</v>
      </c>
      <c r="B89" s="166" t="s">
        <v>35</v>
      </c>
      <c r="C89" s="166" t="s">
        <v>204</v>
      </c>
      <c r="D89" s="167">
        <v>1</v>
      </c>
      <c r="E89" s="167" t="s">
        <v>0</v>
      </c>
      <c r="F89" s="167">
        <v>1</v>
      </c>
      <c r="G89" s="167">
        <v>1</v>
      </c>
      <c r="H89" s="167">
        <v>1</v>
      </c>
      <c r="I89" s="167">
        <v>1</v>
      </c>
      <c r="J89" s="167" t="s">
        <v>0</v>
      </c>
      <c r="K89" s="167" t="s">
        <v>0</v>
      </c>
      <c r="L89" s="167" t="s">
        <v>0</v>
      </c>
      <c r="M89" s="167"/>
    </row>
    <row r="90" spans="1:13" ht="21.75" customHeight="1">
      <c r="A90" s="159" t="s">
        <v>228</v>
      </c>
      <c r="B90" s="160"/>
      <c r="C90" s="160" t="s">
        <v>69</v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</row>
    <row r="91" spans="1:13" ht="21.75" customHeight="1">
      <c r="A91" s="168" t="s">
        <v>254</v>
      </c>
      <c r="B91" s="185"/>
      <c r="C91" s="185"/>
      <c r="D91" s="170"/>
      <c r="E91" s="170"/>
      <c r="F91" s="170"/>
      <c r="G91" s="158"/>
      <c r="H91" s="158"/>
      <c r="I91" s="158"/>
      <c r="J91" s="171"/>
      <c r="K91" s="171"/>
      <c r="L91" s="171"/>
      <c r="M91" s="147"/>
    </row>
    <row r="92" spans="1:13" ht="21.75" customHeight="1">
      <c r="A92" s="173" t="s">
        <v>41</v>
      </c>
      <c r="B92" s="174"/>
      <c r="C92" s="174"/>
      <c r="D92" s="174">
        <v>1</v>
      </c>
      <c r="E92" s="174" t="s">
        <v>0</v>
      </c>
      <c r="F92" s="174">
        <v>1</v>
      </c>
      <c r="G92" s="174">
        <v>1</v>
      </c>
      <c r="H92" s="174">
        <v>1</v>
      </c>
      <c r="I92" s="174">
        <v>1</v>
      </c>
      <c r="J92" s="184" t="s">
        <v>0</v>
      </c>
      <c r="K92" s="184" t="s">
        <v>0</v>
      </c>
      <c r="L92" s="184" t="s">
        <v>0</v>
      </c>
      <c r="M92" s="150"/>
    </row>
    <row r="93" spans="1:13" ht="21.75" customHeight="1">
      <c r="A93" s="173" t="s">
        <v>235</v>
      </c>
      <c r="B93" s="174"/>
      <c r="C93" s="174"/>
      <c r="D93" s="174">
        <v>1</v>
      </c>
      <c r="E93" s="174">
        <v>1</v>
      </c>
      <c r="F93" s="174" t="s">
        <v>98</v>
      </c>
      <c r="G93" s="174">
        <v>1</v>
      </c>
      <c r="H93" s="174">
        <v>1</v>
      </c>
      <c r="I93" s="174">
        <v>1</v>
      </c>
      <c r="J93" s="184" t="s">
        <v>0</v>
      </c>
      <c r="K93" s="184" t="s">
        <v>0</v>
      </c>
      <c r="L93" s="184" t="s">
        <v>0</v>
      </c>
      <c r="M93" s="150"/>
    </row>
    <row r="94" spans="1:13" ht="21.75" customHeight="1">
      <c r="A94" s="177" t="s">
        <v>37</v>
      </c>
      <c r="B94" s="178"/>
      <c r="C94" s="178"/>
      <c r="D94" s="178">
        <v>1</v>
      </c>
      <c r="E94" s="178">
        <v>1</v>
      </c>
      <c r="F94" s="178" t="s">
        <v>98</v>
      </c>
      <c r="G94" s="161">
        <v>1</v>
      </c>
      <c r="H94" s="161">
        <v>1</v>
      </c>
      <c r="I94" s="161">
        <v>1</v>
      </c>
      <c r="J94" s="188" t="s">
        <v>0</v>
      </c>
      <c r="K94" s="188" t="s">
        <v>0</v>
      </c>
      <c r="L94" s="188" t="s">
        <v>0</v>
      </c>
      <c r="M94" s="154"/>
    </row>
    <row r="95" spans="1:13" ht="21.75" customHeight="1">
      <c r="A95" s="168" t="s">
        <v>255</v>
      </c>
      <c r="B95" s="185"/>
      <c r="C95" s="185"/>
      <c r="D95" s="170"/>
      <c r="E95" s="170"/>
      <c r="F95" s="170"/>
      <c r="G95" s="158"/>
      <c r="H95" s="158"/>
      <c r="I95" s="158"/>
      <c r="J95" s="171"/>
      <c r="K95" s="171"/>
      <c r="L95" s="171"/>
      <c r="M95" s="147"/>
    </row>
    <row r="96" spans="1:13" ht="21.75" customHeight="1">
      <c r="A96" s="177" t="s">
        <v>30</v>
      </c>
      <c r="B96" s="178"/>
      <c r="C96" s="178"/>
      <c r="D96" s="178">
        <v>2</v>
      </c>
      <c r="E96" s="178">
        <v>2</v>
      </c>
      <c r="F96" s="178" t="s">
        <v>94</v>
      </c>
      <c r="G96" s="161">
        <v>2</v>
      </c>
      <c r="H96" s="161">
        <v>2</v>
      </c>
      <c r="I96" s="161">
        <v>2</v>
      </c>
      <c r="J96" s="188" t="s">
        <v>0</v>
      </c>
      <c r="K96" s="188" t="s">
        <v>0</v>
      </c>
      <c r="L96" s="188" t="s">
        <v>0</v>
      </c>
      <c r="M96" s="150"/>
    </row>
    <row r="97" spans="1:13" ht="21.75" customHeight="1">
      <c r="A97" s="154" t="s">
        <v>211</v>
      </c>
      <c r="B97" s="154"/>
      <c r="C97" s="154"/>
      <c r="D97" s="154">
        <f>SUM(D9:D96)</f>
        <v>42</v>
      </c>
      <c r="E97" s="154">
        <f>SUM(E9:E96)</f>
        <v>32</v>
      </c>
      <c r="F97" s="154">
        <f>SUM(F9:F96)</f>
        <v>10</v>
      </c>
      <c r="G97" s="154">
        <v>42</v>
      </c>
      <c r="H97" s="154">
        <v>42</v>
      </c>
      <c r="I97" s="154">
        <v>42</v>
      </c>
      <c r="J97" s="154" t="s">
        <v>0</v>
      </c>
      <c r="K97" s="193" t="s">
        <v>0</v>
      </c>
      <c r="L97" s="194" t="s">
        <v>0</v>
      </c>
      <c r="M97" s="195"/>
    </row>
    <row r="98" spans="1:13" ht="21.75" customHeight="1">
      <c r="A98" s="196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97"/>
    </row>
    <row r="99" spans="1:14" ht="21.75" customHeight="1">
      <c r="A99" s="198" t="s">
        <v>267</v>
      </c>
      <c r="B99" s="197"/>
      <c r="C99" s="375">
        <f>ภาระค่าใช้จ่าย!F75</f>
        <v>30574112.1</v>
      </c>
      <c r="D99" s="375"/>
      <c r="E99" s="375"/>
      <c r="F99" s="199" t="s">
        <v>212</v>
      </c>
      <c r="G99" s="374" t="s">
        <v>213</v>
      </c>
      <c r="H99" s="374"/>
      <c r="I99" s="374"/>
      <c r="J99" s="349">
        <f>((14746300*5)/100)+14746300</f>
        <v>15483615</v>
      </c>
      <c r="K99" s="349"/>
      <c r="L99" s="349"/>
      <c r="M99" s="201" t="s">
        <v>212</v>
      </c>
      <c r="N99" s="196"/>
    </row>
    <row r="100" spans="1:13" ht="21.75" customHeight="1">
      <c r="A100" s="198" t="s">
        <v>266</v>
      </c>
      <c r="B100" s="197"/>
      <c r="C100" s="349">
        <f>ภาระค่าใช้จ่าย!P72</f>
        <v>8509248</v>
      </c>
      <c r="D100" s="349"/>
      <c r="E100" s="349"/>
      <c r="F100" s="199" t="s">
        <v>212</v>
      </c>
      <c r="G100" s="200"/>
      <c r="H100" s="198"/>
      <c r="I100" s="198"/>
      <c r="J100" s="346">
        <f>+C100</f>
        <v>8509248</v>
      </c>
      <c r="K100" s="347"/>
      <c r="L100" s="347"/>
      <c r="M100" s="201" t="s">
        <v>212</v>
      </c>
    </row>
    <row r="101" spans="1:13" ht="21.75" customHeight="1">
      <c r="A101" s="198" t="s">
        <v>214</v>
      </c>
      <c r="B101" s="197"/>
      <c r="C101" s="350">
        <f>(C100*100)/C99</f>
        <v>27.831545760571736</v>
      </c>
      <c r="D101" s="350"/>
      <c r="E101" s="350"/>
      <c r="F101" s="199"/>
      <c r="G101" s="204"/>
      <c r="H101" s="198"/>
      <c r="I101" s="198"/>
      <c r="J101" s="348">
        <f>(J100*100)/J99</f>
        <v>54.95646849911988</v>
      </c>
      <c r="K101" s="347"/>
      <c r="L101" s="347"/>
      <c r="M101" s="201"/>
    </row>
  </sheetData>
  <sheetProtection/>
  <mergeCells count="32">
    <mergeCell ref="D7:F7"/>
    <mergeCell ref="G7:I7"/>
    <mergeCell ref="J7:L7"/>
    <mergeCell ref="J99:L99"/>
    <mergeCell ref="C99:E99"/>
    <mergeCell ref="G5:I5"/>
    <mergeCell ref="J5:L5"/>
    <mergeCell ref="D59:F59"/>
    <mergeCell ref="J60:L60"/>
    <mergeCell ref="J58:L58"/>
    <mergeCell ref="D60:F60"/>
    <mergeCell ref="G60:I60"/>
    <mergeCell ref="A55:M55"/>
    <mergeCell ref="D58:F58"/>
    <mergeCell ref="J6:L6"/>
    <mergeCell ref="A1:M1"/>
    <mergeCell ref="A2:M2"/>
    <mergeCell ref="A3:M3"/>
    <mergeCell ref="A4:M4"/>
    <mergeCell ref="D5:F5"/>
    <mergeCell ref="M58:M61"/>
    <mergeCell ref="M5:M8"/>
    <mergeCell ref="G58:I58"/>
    <mergeCell ref="D6:F6"/>
    <mergeCell ref="G6:I6"/>
    <mergeCell ref="J100:L100"/>
    <mergeCell ref="J101:L101"/>
    <mergeCell ref="C100:E100"/>
    <mergeCell ref="C101:E101"/>
    <mergeCell ref="G59:I59"/>
    <mergeCell ref="J59:L59"/>
    <mergeCell ref="G99:I99"/>
  </mergeCells>
  <printOptions/>
  <pageMargins left="0.7" right="0.2" top="0.75" bottom="0.75" header="0.3" footer="0.0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usercom</dc:creator>
  <cp:keywords/>
  <dc:description/>
  <cp:lastModifiedBy>po</cp:lastModifiedBy>
  <cp:lastPrinted>2017-08-02T08:40:38Z</cp:lastPrinted>
  <dcterms:created xsi:type="dcterms:W3CDTF">2009-02-26T09:28:42Z</dcterms:created>
  <dcterms:modified xsi:type="dcterms:W3CDTF">2017-08-02T08:53:39Z</dcterms:modified>
  <cp:category/>
  <cp:version/>
  <cp:contentType/>
  <cp:contentStatus/>
</cp:coreProperties>
</file>